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339_5eaa9ac52d438" sheetId="1" r:id="rId1"/>
  </sheets>
  <definedNames>
    <definedName name="_xlnm._FilterDatabase" localSheetId="0" hidden="1">'2339_5eaa9ac52d438'!$A$1:$I$137</definedName>
    <definedName name="_xlnm.Print_Titles" localSheetId="0">'2339_5eaa9ac52d438'!$1:$2</definedName>
  </definedNames>
  <calcPr calcId="144525" refMode="R1C1"/>
</workbook>
</file>

<file path=xl/sharedStrings.xml><?xml version="1.0" encoding="utf-8"?>
<sst xmlns="http://schemas.openxmlformats.org/spreadsheetml/2006/main" count="36" uniqueCount="13">
  <si>
    <t>三亚市人力资源和社会保障局2020年公开招聘三亚市劳动人事争议仲裁院工作人员资格初审合格进入笔试人员名单（九级管理岗位）</t>
  </si>
  <si>
    <t>序号</t>
  </si>
  <si>
    <t>报考号</t>
  </si>
  <si>
    <t>姓名</t>
  </si>
  <si>
    <t>性别</t>
  </si>
  <si>
    <t>出生
年月</t>
  </si>
  <si>
    <t>民族</t>
  </si>
  <si>
    <t>学历</t>
  </si>
  <si>
    <t>学位</t>
  </si>
  <si>
    <t>备注</t>
  </si>
  <si>
    <t>汉族</t>
  </si>
  <si>
    <t>回族</t>
  </si>
  <si>
    <t>黎族</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</si>
</sst>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0"/>
      <color theme="1"/>
      <name val="宋体"/>
      <charset val="134"/>
      <scheme val="minor"/>
    </font>
    <font>
      <b/>
      <sz val="18"/>
      <color theme="1"/>
      <name val="宋体"/>
      <charset val="134"/>
      <scheme val="minor"/>
    </font>
    <font>
      <b/>
      <sz val="10"/>
      <color theme="1"/>
      <name val="宋体"/>
      <charset val="134"/>
      <scheme val="minor"/>
    </font>
    <font>
      <sz val="9"/>
      <color theme="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9" borderId="0" applyNumberFormat="0" applyBorder="0" applyAlignment="0" applyProtection="0">
      <alignment vertical="center"/>
    </xf>
    <xf numFmtId="0" fontId="16"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14"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3" applyNumberFormat="0" applyFill="0" applyAlignment="0" applyProtection="0">
      <alignment vertical="center"/>
    </xf>
    <xf numFmtId="0" fontId="5" fillId="0" borderId="3" applyNumberFormat="0" applyFill="0" applyAlignment="0" applyProtection="0">
      <alignment vertical="center"/>
    </xf>
    <xf numFmtId="0" fontId="14" fillId="21" borderId="0" applyNumberFormat="0" applyBorder="0" applyAlignment="0" applyProtection="0">
      <alignment vertical="center"/>
    </xf>
    <xf numFmtId="0" fontId="8" fillId="0" borderId="5" applyNumberFormat="0" applyFill="0" applyAlignment="0" applyProtection="0">
      <alignment vertical="center"/>
    </xf>
    <xf numFmtId="0" fontId="14" fillId="13" borderId="0" applyNumberFormat="0" applyBorder="0" applyAlignment="0" applyProtection="0">
      <alignment vertical="center"/>
    </xf>
    <xf numFmtId="0" fontId="21" fillId="18" borderId="9" applyNumberFormat="0" applyAlignment="0" applyProtection="0">
      <alignment vertical="center"/>
    </xf>
    <xf numFmtId="0" fontId="17" fillId="18" borderId="7" applyNumberFormat="0" applyAlignment="0" applyProtection="0">
      <alignment vertical="center"/>
    </xf>
    <xf numFmtId="0" fontId="13" fillId="9" borderId="6" applyNumberFormat="0" applyAlignment="0" applyProtection="0">
      <alignment vertical="center"/>
    </xf>
    <xf numFmtId="0" fontId="11" fillId="29" borderId="0" applyNumberFormat="0" applyBorder="0" applyAlignment="0" applyProtection="0">
      <alignment vertical="center"/>
    </xf>
    <xf numFmtId="0" fontId="14" fillId="32" borderId="0" applyNumberFormat="0" applyBorder="0" applyAlignment="0" applyProtection="0">
      <alignment vertical="center"/>
    </xf>
    <xf numFmtId="0" fontId="18" fillId="0" borderId="8" applyNumberFormat="0" applyFill="0" applyAlignment="0" applyProtection="0">
      <alignment vertical="center"/>
    </xf>
    <xf numFmtId="0" fontId="23" fillId="0" borderId="10" applyNumberFormat="0" applyFill="0" applyAlignment="0" applyProtection="0">
      <alignment vertical="center"/>
    </xf>
    <xf numFmtId="0" fontId="22" fillId="28" borderId="0" applyNumberFormat="0" applyBorder="0" applyAlignment="0" applyProtection="0">
      <alignment vertical="center"/>
    </xf>
    <xf numFmtId="0" fontId="15" fillId="12" borderId="0" applyNumberFormat="0" applyBorder="0" applyAlignment="0" applyProtection="0">
      <alignment vertical="center"/>
    </xf>
    <xf numFmtId="0" fontId="11" fillId="17" borderId="0" applyNumberFormat="0" applyBorder="0" applyAlignment="0" applyProtection="0">
      <alignment vertical="center"/>
    </xf>
    <xf numFmtId="0" fontId="14" fillId="25"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11" fillId="26" borderId="0" applyNumberFormat="0" applyBorder="0" applyAlignment="0" applyProtection="0">
      <alignment vertical="center"/>
    </xf>
    <xf numFmtId="0" fontId="11" fillId="4" borderId="0" applyNumberFormat="0" applyBorder="0" applyAlignment="0" applyProtection="0">
      <alignment vertical="center"/>
    </xf>
    <xf numFmtId="0" fontId="14" fillId="23" borderId="0" applyNumberFormat="0" applyBorder="0" applyAlignment="0" applyProtection="0">
      <alignment vertical="center"/>
    </xf>
    <xf numFmtId="0" fontId="11" fillId="7" borderId="0" applyNumberFormat="0" applyBorder="0" applyAlignment="0" applyProtection="0">
      <alignment vertical="center"/>
    </xf>
    <xf numFmtId="0" fontId="14" fillId="20" borderId="0" applyNumberFormat="0" applyBorder="0" applyAlignment="0" applyProtection="0">
      <alignment vertical="center"/>
    </xf>
    <xf numFmtId="0" fontId="14" fillId="30"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vertical="center" wrapText="1"/>
    </xf>
    <xf numFmtId="0" fontId="0" fillId="0" borderId="0" xfId="0" applyBorder="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tabSelected="1" workbookViewId="0">
      <pane ySplit="2" topLeftCell="A3" activePane="bottomLeft" state="frozen"/>
      <selection/>
      <selection pane="bottomLeft" activeCell="A1" sqref="A1:I1"/>
    </sheetView>
  </sheetViews>
  <sheetFormatPr defaultColWidth="9" defaultRowHeight="13.5"/>
  <cols>
    <col min="1" max="1" width="5.375" style="2" customWidth="1"/>
    <col min="2" max="2" width="18" style="2" customWidth="1"/>
    <col min="3" max="3" width="8.625" style="2" customWidth="1"/>
    <col min="4" max="4" width="6.375" style="2" customWidth="1"/>
    <col min="5" max="5" width="11.5" style="2" customWidth="1"/>
    <col min="6" max="6" width="7.375" style="2" customWidth="1"/>
    <col min="7" max="7" width="11.125" style="2" customWidth="1"/>
    <col min="8" max="8" width="8.625" style="2" customWidth="1"/>
    <col min="9" max="16384" width="9" style="2"/>
  </cols>
  <sheetData>
    <row r="1" ht="76" customHeight="1" spans="1:9">
      <c r="A1" s="3" t="s">
        <v>0</v>
      </c>
      <c r="B1" s="3"/>
      <c r="C1" s="3"/>
      <c r="D1" s="3"/>
      <c r="E1" s="3"/>
      <c r="F1" s="3"/>
      <c r="G1" s="3"/>
      <c r="H1" s="3"/>
      <c r="I1" s="3"/>
    </row>
    <row r="2" s="1" customFormat="1" ht="25" customHeight="1" spans="1:9">
      <c r="A2" s="4" t="s">
        <v>1</v>
      </c>
      <c r="B2" s="4" t="s">
        <v>2</v>
      </c>
      <c r="C2" s="4" t="s">
        <v>3</v>
      </c>
      <c r="D2" s="4" t="s">
        <v>4</v>
      </c>
      <c r="E2" s="4" t="s">
        <v>5</v>
      </c>
      <c r="F2" s="4" t="s">
        <v>6</v>
      </c>
      <c r="G2" s="4" t="s">
        <v>7</v>
      </c>
      <c r="H2" s="5" t="s">
        <v>8</v>
      </c>
      <c r="I2" s="5" t="s">
        <v>9</v>
      </c>
    </row>
    <row r="3" s="1" customFormat="1" ht="25" customHeight="1" spans="1:9">
      <c r="A3" s="6">
        <v>1</v>
      </c>
      <c r="B3" s="7" t="str">
        <f>"2339202004011018056"</f>
        <v>2339202004011018056</v>
      </c>
      <c r="C3" s="6" t="str">
        <f>"戴鸳"</f>
        <v>戴鸳</v>
      </c>
      <c r="D3" s="6" t="str">
        <f t="shared" ref="D3:D10" si="0">"女"</f>
        <v>女</v>
      </c>
      <c r="E3" s="6" t="str">
        <f>"1988-09-22"</f>
        <v>1988-09-22</v>
      </c>
      <c r="F3" s="6" t="s">
        <v>10</v>
      </c>
      <c r="G3" s="6" t="str">
        <f>"研究生"</f>
        <v>研究生</v>
      </c>
      <c r="H3" s="6" t="str">
        <f>"硕士"</f>
        <v>硕士</v>
      </c>
      <c r="I3" s="8"/>
    </row>
    <row r="4" s="1" customFormat="1" ht="25" customHeight="1" spans="1:9">
      <c r="A4" s="6">
        <v>2</v>
      </c>
      <c r="B4" s="7" t="str">
        <f>"23392020040111503912"</f>
        <v>23392020040111503912</v>
      </c>
      <c r="C4" s="6" t="str">
        <f>"陈妹仙"</f>
        <v>陈妹仙</v>
      </c>
      <c r="D4" s="6" t="str">
        <f t="shared" si="0"/>
        <v>女</v>
      </c>
      <c r="E4" s="6" t="str">
        <f>"1995-12-13"</f>
        <v>1995-12-13</v>
      </c>
      <c r="F4" s="6" t="str">
        <f>"黎族"</f>
        <v>黎族</v>
      </c>
      <c r="G4" s="6" t="str">
        <f t="shared" ref="G4:G9" si="1">"全日制本科"</f>
        <v>全日制本科</v>
      </c>
      <c r="H4" s="6" t="str">
        <f t="shared" ref="H4:H9" si="2">"学士"</f>
        <v>学士</v>
      </c>
      <c r="I4" s="8"/>
    </row>
    <row r="5" s="1" customFormat="1" ht="25" customHeight="1" spans="1:9">
      <c r="A5" s="6">
        <v>3</v>
      </c>
      <c r="B5" s="7" t="str">
        <f>"23392020040112353014"</f>
        <v>23392020040112353014</v>
      </c>
      <c r="C5" s="6" t="str">
        <f>"哈维丽"</f>
        <v>哈维丽</v>
      </c>
      <c r="D5" s="6" t="str">
        <f t="shared" si="0"/>
        <v>女</v>
      </c>
      <c r="E5" s="6" t="str">
        <f>"1998-07-16"</f>
        <v>1998-07-16</v>
      </c>
      <c r="F5" s="6" t="s">
        <v>11</v>
      </c>
      <c r="G5" s="6" t="str">
        <f t="shared" si="1"/>
        <v>全日制本科</v>
      </c>
      <c r="H5" s="6" t="str">
        <f t="shared" si="2"/>
        <v>学士</v>
      </c>
      <c r="I5" s="8"/>
    </row>
    <row r="6" s="1" customFormat="1" ht="25" customHeight="1" spans="1:9">
      <c r="A6" s="6">
        <v>4</v>
      </c>
      <c r="B6" s="7" t="str">
        <f>"23392020040113371717"</f>
        <v>23392020040113371717</v>
      </c>
      <c r="C6" s="6" t="str">
        <f>"简佳佳 "</f>
        <v>简佳佳 </v>
      </c>
      <c r="D6" s="6" t="str">
        <f t="shared" si="0"/>
        <v>女</v>
      </c>
      <c r="E6" s="6" t="str">
        <f>"1997-09-23"</f>
        <v>1997-09-23</v>
      </c>
      <c r="F6" s="6" t="str">
        <f t="shared" ref="F6:F13" si="3">"汉族"</f>
        <v>汉族</v>
      </c>
      <c r="G6" s="6" t="str">
        <f t="shared" si="1"/>
        <v>全日制本科</v>
      </c>
      <c r="H6" s="6" t="str">
        <f t="shared" si="2"/>
        <v>学士</v>
      </c>
      <c r="I6" s="8"/>
    </row>
    <row r="7" s="1" customFormat="1" ht="25" customHeight="1" spans="1:9">
      <c r="A7" s="6">
        <v>5</v>
      </c>
      <c r="B7" s="7" t="str">
        <f>"23392020040114391118"</f>
        <v>23392020040114391118</v>
      </c>
      <c r="C7" s="6" t="str">
        <f>"宋佳雯"</f>
        <v>宋佳雯</v>
      </c>
      <c r="D7" s="6" t="str">
        <f t="shared" si="0"/>
        <v>女</v>
      </c>
      <c r="E7" s="6" t="str">
        <f>"1995-03-28"</f>
        <v>1995-03-28</v>
      </c>
      <c r="F7" s="6" t="str">
        <f t="shared" si="3"/>
        <v>汉族</v>
      </c>
      <c r="G7" s="6" t="str">
        <f t="shared" si="1"/>
        <v>全日制本科</v>
      </c>
      <c r="H7" s="6" t="str">
        <f t="shared" si="2"/>
        <v>学士</v>
      </c>
      <c r="I7" s="8"/>
    </row>
    <row r="8" s="1" customFormat="1" ht="25" customHeight="1" spans="1:9">
      <c r="A8" s="6">
        <v>6</v>
      </c>
      <c r="B8" s="7" t="str">
        <f>"23392020040114395119"</f>
        <v>23392020040114395119</v>
      </c>
      <c r="C8" s="6" t="str">
        <f>"麦长珊"</f>
        <v>麦长珊</v>
      </c>
      <c r="D8" s="6" t="str">
        <f t="shared" si="0"/>
        <v>女</v>
      </c>
      <c r="E8" s="6" t="str">
        <f>"1991-05-15"</f>
        <v>1991-05-15</v>
      </c>
      <c r="F8" s="6" t="str">
        <f t="shared" si="3"/>
        <v>汉族</v>
      </c>
      <c r="G8" s="6" t="str">
        <f t="shared" si="1"/>
        <v>全日制本科</v>
      </c>
      <c r="H8" s="6" t="str">
        <f t="shared" si="2"/>
        <v>学士</v>
      </c>
      <c r="I8" s="8"/>
    </row>
    <row r="9" s="1" customFormat="1" ht="25" customHeight="1" spans="1:9">
      <c r="A9" s="6">
        <v>7</v>
      </c>
      <c r="B9" s="7" t="str">
        <f>"23392020040117455726"</f>
        <v>23392020040117455726</v>
      </c>
      <c r="C9" s="6" t="str">
        <f>"郭锦婷"</f>
        <v>郭锦婷</v>
      </c>
      <c r="D9" s="6" t="str">
        <f t="shared" si="0"/>
        <v>女</v>
      </c>
      <c r="E9" s="6" t="str">
        <f>"1993-09-25"</f>
        <v>1993-09-25</v>
      </c>
      <c r="F9" s="6" t="str">
        <f>"回族"</f>
        <v>回族</v>
      </c>
      <c r="G9" s="6" t="str">
        <f t="shared" si="1"/>
        <v>全日制本科</v>
      </c>
      <c r="H9" s="6" t="str">
        <f t="shared" si="2"/>
        <v>学士</v>
      </c>
      <c r="I9" s="8"/>
    </row>
    <row r="10" s="1" customFormat="1" ht="25" customHeight="1" spans="1:9">
      <c r="A10" s="6">
        <v>8</v>
      </c>
      <c r="B10" s="7" t="str">
        <f>"23392020040119535529"</f>
        <v>23392020040119535529</v>
      </c>
      <c r="C10" s="6" t="str">
        <f>"刘婷"</f>
        <v>刘婷</v>
      </c>
      <c r="D10" s="6" t="str">
        <f t="shared" si="0"/>
        <v>女</v>
      </c>
      <c r="E10" s="6" t="str">
        <f>"1990-09-01"</f>
        <v>1990-09-01</v>
      </c>
      <c r="F10" s="6" t="str">
        <f t="shared" si="3"/>
        <v>汉族</v>
      </c>
      <c r="G10" s="6" t="str">
        <f>"研究生"</f>
        <v>研究生</v>
      </c>
      <c r="H10" s="6" t="str">
        <f>"硕士"</f>
        <v>硕士</v>
      </c>
      <c r="I10" s="8"/>
    </row>
    <row r="11" s="1" customFormat="1" ht="25" customHeight="1" spans="1:9">
      <c r="A11" s="6">
        <v>9</v>
      </c>
      <c r="B11" s="7" t="str">
        <f>"23392020040120323132"</f>
        <v>23392020040120323132</v>
      </c>
      <c r="C11" s="6" t="str">
        <f>"王振涛"</f>
        <v>王振涛</v>
      </c>
      <c r="D11" s="6" t="str">
        <f t="shared" ref="D11:D13" si="4">"男"</f>
        <v>男</v>
      </c>
      <c r="E11" s="6" t="str">
        <f>"1996-05-03"</f>
        <v>1996-05-03</v>
      </c>
      <c r="F11" s="6" t="str">
        <f t="shared" si="3"/>
        <v>汉族</v>
      </c>
      <c r="G11" s="6" t="str">
        <f t="shared" ref="G11:G15" si="5">"全日制本科"</f>
        <v>全日制本科</v>
      </c>
      <c r="H11" s="6" t="str">
        <f t="shared" ref="H11:H15" si="6">"学士"</f>
        <v>学士</v>
      </c>
      <c r="I11" s="8"/>
    </row>
    <row r="12" s="1" customFormat="1" ht="25" customHeight="1" spans="1:9">
      <c r="A12" s="6">
        <v>10</v>
      </c>
      <c r="B12" s="7" t="str">
        <f>"23392020040120404034"</f>
        <v>23392020040120404034</v>
      </c>
      <c r="C12" s="6" t="str">
        <f>"应泽政"</f>
        <v>应泽政</v>
      </c>
      <c r="D12" s="6" t="str">
        <f t="shared" si="4"/>
        <v>男</v>
      </c>
      <c r="E12" s="6" t="str">
        <f>"1994-04-03"</f>
        <v>1994-04-03</v>
      </c>
      <c r="F12" s="6" t="str">
        <f t="shared" si="3"/>
        <v>汉族</v>
      </c>
      <c r="G12" s="6" t="str">
        <f t="shared" si="5"/>
        <v>全日制本科</v>
      </c>
      <c r="H12" s="6" t="str">
        <f t="shared" si="6"/>
        <v>学士</v>
      </c>
      <c r="I12" s="8"/>
    </row>
    <row r="13" s="1" customFormat="1" ht="25" customHeight="1" spans="1:9">
      <c r="A13" s="6">
        <v>11</v>
      </c>
      <c r="B13" s="7" t="str">
        <f>"23392020040120540535"</f>
        <v>23392020040120540535</v>
      </c>
      <c r="C13" s="6" t="str">
        <f>"李宇雷"</f>
        <v>李宇雷</v>
      </c>
      <c r="D13" s="6" t="str">
        <f t="shared" si="4"/>
        <v>男</v>
      </c>
      <c r="E13" s="6" t="str">
        <f>"1990-10-12"</f>
        <v>1990-10-12</v>
      </c>
      <c r="F13" s="6" t="str">
        <f t="shared" si="3"/>
        <v>汉族</v>
      </c>
      <c r="G13" s="6" t="str">
        <f t="shared" si="5"/>
        <v>全日制本科</v>
      </c>
      <c r="H13" s="6" t="str">
        <f t="shared" si="6"/>
        <v>学士</v>
      </c>
      <c r="I13" s="8"/>
    </row>
    <row r="14" s="1" customFormat="1" ht="25" customHeight="1" spans="1:9">
      <c r="A14" s="6">
        <v>12</v>
      </c>
      <c r="B14" s="7" t="str">
        <f>"23392020040121014736"</f>
        <v>23392020040121014736</v>
      </c>
      <c r="C14" s="6" t="str">
        <f>"景燚丹"</f>
        <v>景燚丹</v>
      </c>
      <c r="D14" s="6" t="str">
        <f t="shared" ref="D14:D16" si="7">"女"</f>
        <v>女</v>
      </c>
      <c r="E14" s="6" t="str">
        <f>"1991-09-06"</f>
        <v>1991-09-06</v>
      </c>
      <c r="F14" s="6" t="s">
        <v>10</v>
      </c>
      <c r="G14" s="6" t="str">
        <f t="shared" si="5"/>
        <v>全日制本科</v>
      </c>
      <c r="H14" s="6" t="str">
        <f t="shared" si="6"/>
        <v>学士</v>
      </c>
      <c r="I14" s="8"/>
    </row>
    <row r="15" s="1" customFormat="1" ht="25" customHeight="1" spans="1:9">
      <c r="A15" s="6">
        <v>13</v>
      </c>
      <c r="B15" s="7" t="str">
        <f>"23392020040123253940"</f>
        <v>23392020040123253940</v>
      </c>
      <c r="C15" s="6" t="str">
        <f>"叶莹"</f>
        <v>叶莹</v>
      </c>
      <c r="D15" s="6" t="str">
        <f t="shared" si="7"/>
        <v>女</v>
      </c>
      <c r="E15" s="6" t="str">
        <f>"1997-07-30"</f>
        <v>1997-07-30</v>
      </c>
      <c r="F15" s="6" t="str">
        <f t="shared" ref="F15:F20" si="8">"汉族"</f>
        <v>汉族</v>
      </c>
      <c r="G15" s="6" t="str">
        <f t="shared" si="5"/>
        <v>全日制本科</v>
      </c>
      <c r="H15" s="6" t="str">
        <f t="shared" si="6"/>
        <v>学士</v>
      </c>
      <c r="I15" s="8"/>
    </row>
    <row r="16" s="1" customFormat="1" ht="25" customHeight="1" spans="1:9">
      <c r="A16" s="6">
        <v>14</v>
      </c>
      <c r="B16" s="7" t="str">
        <f>"23392020040210422146"</f>
        <v>23392020040210422146</v>
      </c>
      <c r="C16" s="6" t="str">
        <f>"王小青"</f>
        <v>王小青</v>
      </c>
      <c r="D16" s="6" t="str">
        <f t="shared" si="7"/>
        <v>女</v>
      </c>
      <c r="E16" s="6" t="str">
        <f>"1992-12-03"</f>
        <v>1992-12-03</v>
      </c>
      <c r="F16" s="6" t="s">
        <v>10</v>
      </c>
      <c r="G16" s="6" t="str">
        <f>"研究生"</f>
        <v>研究生</v>
      </c>
      <c r="H16" s="6" t="str">
        <f>"硕士"</f>
        <v>硕士</v>
      </c>
      <c r="I16" s="8"/>
    </row>
    <row r="17" s="1" customFormat="1" ht="25" customHeight="1" spans="1:9">
      <c r="A17" s="6">
        <v>15</v>
      </c>
      <c r="B17" s="7" t="str">
        <f>"23392020040211220450"</f>
        <v>23392020040211220450</v>
      </c>
      <c r="C17" s="6" t="str">
        <f>"魏震宇"</f>
        <v>魏震宇</v>
      </c>
      <c r="D17" s="6" t="str">
        <f>"男"</f>
        <v>男</v>
      </c>
      <c r="E17" s="6" t="str">
        <f>"1991-04-07"</f>
        <v>1991-04-07</v>
      </c>
      <c r="F17" s="6" t="str">
        <f t="shared" si="8"/>
        <v>汉族</v>
      </c>
      <c r="G17" s="6" t="str">
        <f t="shared" ref="G17:G19" si="9">"全日制本科"</f>
        <v>全日制本科</v>
      </c>
      <c r="H17" s="6" t="str">
        <f t="shared" ref="H17:H19" si="10">"学士"</f>
        <v>学士</v>
      </c>
      <c r="I17" s="8"/>
    </row>
    <row r="18" s="1" customFormat="1" ht="25" customHeight="1" spans="1:9">
      <c r="A18" s="6">
        <v>16</v>
      </c>
      <c r="B18" s="7" t="str">
        <f>"23392020040211225051"</f>
        <v>23392020040211225051</v>
      </c>
      <c r="C18" s="6" t="str">
        <f>"梁卿"</f>
        <v>梁卿</v>
      </c>
      <c r="D18" s="6" t="str">
        <f t="shared" ref="D18:D21" si="11">"女"</f>
        <v>女</v>
      </c>
      <c r="E18" s="6" t="str">
        <f>"1991-04-21"</f>
        <v>1991-04-21</v>
      </c>
      <c r="F18" s="6" t="str">
        <f t="shared" si="8"/>
        <v>汉族</v>
      </c>
      <c r="G18" s="6" t="str">
        <f t="shared" si="9"/>
        <v>全日制本科</v>
      </c>
      <c r="H18" s="6" t="str">
        <f t="shared" si="10"/>
        <v>学士</v>
      </c>
      <c r="I18" s="8"/>
    </row>
    <row r="19" s="1" customFormat="1" ht="25" customHeight="1" spans="1:9">
      <c r="A19" s="6">
        <v>17</v>
      </c>
      <c r="B19" s="7" t="str">
        <f>"23392020040212545054"</f>
        <v>23392020040212545054</v>
      </c>
      <c r="C19" s="6" t="str">
        <f>"吉云"</f>
        <v>吉云</v>
      </c>
      <c r="D19" s="6" t="str">
        <f t="shared" si="11"/>
        <v>女</v>
      </c>
      <c r="E19" s="6" t="str">
        <f>"1995-04-01"</f>
        <v>1995-04-01</v>
      </c>
      <c r="F19" s="6" t="str">
        <f t="shared" si="8"/>
        <v>汉族</v>
      </c>
      <c r="G19" s="6" t="str">
        <f t="shared" si="9"/>
        <v>全日制本科</v>
      </c>
      <c r="H19" s="6" t="str">
        <f t="shared" si="10"/>
        <v>学士</v>
      </c>
      <c r="I19" s="8"/>
    </row>
    <row r="20" s="1" customFormat="1" ht="25" customHeight="1" spans="1:9">
      <c r="A20" s="6">
        <v>18</v>
      </c>
      <c r="B20" s="7" t="str">
        <f>"23392020040213203757"</f>
        <v>23392020040213203757</v>
      </c>
      <c r="C20" s="6" t="str">
        <f>"王磊"</f>
        <v>王磊</v>
      </c>
      <c r="D20" s="6" t="str">
        <f t="shared" si="11"/>
        <v>女</v>
      </c>
      <c r="E20" s="6" t="str">
        <f>"1984-09-25"</f>
        <v>1984-09-25</v>
      </c>
      <c r="F20" s="6" t="str">
        <f t="shared" si="8"/>
        <v>汉族</v>
      </c>
      <c r="G20" s="6" t="str">
        <f>"研究生"</f>
        <v>研究生</v>
      </c>
      <c r="H20" s="6" t="str">
        <f>"硕士"</f>
        <v>硕士</v>
      </c>
      <c r="I20" s="8"/>
    </row>
    <row r="21" s="1" customFormat="1" ht="25" customHeight="1" spans="1:9">
      <c r="A21" s="6">
        <v>19</v>
      </c>
      <c r="B21" s="7" t="str">
        <f>"23392020040215014858"</f>
        <v>23392020040215014858</v>
      </c>
      <c r="C21" s="6" t="str">
        <f>"郑海燕"</f>
        <v>郑海燕</v>
      </c>
      <c r="D21" s="6" t="str">
        <f t="shared" si="11"/>
        <v>女</v>
      </c>
      <c r="E21" s="6" t="str">
        <f>"1994-02-08"</f>
        <v>1994-02-08</v>
      </c>
      <c r="F21" s="6" t="str">
        <f t="shared" ref="F21:F25" si="12">"汉族"</f>
        <v>汉族</v>
      </c>
      <c r="G21" s="6" t="str">
        <f t="shared" ref="G21:G50" si="13">"全日制本科"</f>
        <v>全日制本科</v>
      </c>
      <c r="H21" s="6" t="str">
        <f t="shared" ref="H21:H50" si="14">"学士"</f>
        <v>学士</v>
      </c>
      <c r="I21" s="8"/>
    </row>
    <row r="22" s="1" customFormat="1" ht="25" customHeight="1" spans="1:9">
      <c r="A22" s="6">
        <v>20</v>
      </c>
      <c r="B22" s="7" t="str">
        <f>"23392020040219252762"</f>
        <v>23392020040219252762</v>
      </c>
      <c r="C22" s="6" t="str">
        <f>"胡志红"</f>
        <v>胡志红</v>
      </c>
      <c r="D22" s="6" t="str">
        <f t="shared" ref="D22:D28" si="15">"男"</f>
        <v>男</v>
      </c>
      <c r="E22" s="6" t="str">
        <f>"1993-11-06"</f>
        <v>1993-11-06</v>
      </c>
      <c r="F22" s="6" t="s">
        <v>10</v>
      </c>
      <c r="G22" s="6" t="str">
        <f t="shared" si="13"/>
        <v>全日制本科</v>
      </c>
      <c r="H22" s="6" t="str">
        <f t="shared" si="14"/>
        <v>学士</v>
      </c>
      <c r="I22" s="8"/>
    </row>
    <row r="23" s="1" customFormat="1" ht="25" customHeight="1" spans="1:9">
      <c r="A23" s="6">
        <v>21</v>
      </c>
      <c r="B23" s="7" t="str">
        <f>"23392020040220151863"</f>
        <v>23392020040220151863</v>
      </c>
      <c r="C23" s="6" t="str">
        <f>"李佳惠"</f>
        <v>李佳惠</v>
      </c>
      <c r="D23" s="6" t="str">
        <f t="shared" si="15"/>
        <v>男</v>
      </c>
      <c r="E23" s="6" t="str">
        <f>"1994-05-12"</f>
        <v>1994-05-12</v>
      </c>
      <c r="F23" s="6" t="str">
        <f t="shared" si="12"/>
        <v>汉族</v>
      </c>
      <c r="G23" s="6" t="str">
        <f t="shared" si="13"/>
        <v>全日制本科</v>
      </c>
      <c r="H23" s="6" t="str">
        <f t="shared" si="14"/>
        <v>学士</v>
      </c>
      <c r="I23" s="8"/>
    </row>
    <row r="24" s="1" customFormat="1" ht="25" customHeight="1" spans="1:9">
      <c r="A24" s="6">
        <v>22</v>
      </c>
      <c r="B24" s="7" t="str">
        <f>"23392020040220341464"</f>
        <v>23392020040220341464</v>
      </c>
      <c r="C24" s="6" t="str">
        <f>"郭铭君"</f>
        <v>郭铭君</v>
      </c>
      <c r="D24" s="6" t="str">
        <f t="shared" ref="D24:D26" si="16">"女"</f>
        <v>女</v>
      </c>
      <c r="E24" s="6" t="str">
        <f>"1987-06-11"</f>
        <v>1987-06-11</v>
      </c>
      <c r="F24" s="6" t="str">
        <f t="shared" si="12"/>
        <v>汉族</v>
      </c>
      <c r="G24" s="6" t="str">
        <f t="shared" si="13"/>
        <v>全日制本科</v>
      </c>
      <c r="H24" s="6" t="str">
        <f t="shared" si="14"/>
        <v>学士</v>
      </c>
      <c r="I24" s="8"/>
    </row>
    <row r="25" s="1" customFormat="1" ht="25" customHeight="1" spans="1:9">
      <c r="A25" s="6">
        <v>23</v>
      </c>
      <c r="B25" s="7" t="str">
        <f>"23392020040221581666"</f>
        <v>23392020040221581666</v>
      </c>
      <c r="C25" s="6" t="str">
        <f>"孙乙宁"</f>
        <v>孙乙宁</v>
      </c>
      <c r="D25" s="6" t="str">
        <f t="shared" si="16"/>
        <v>女</v>
      </c>
      <c r="E25" s="6" t="str">
        <f>"1992-11-09"</f>
        <v>1992-11-09</v>
      </c>
      <c r="F25" s="6" t="str">
        <f t="shared" si="12"/>
        <v>汉族</v>
      </c>
      <c r="G25" s="6" t="str">
        <f t="shared" si="13"/>
        <v>全日制本科</v>
      </c>
      <c r="H25" s="6" t="str">
        <f t="shared" si="14"/>
        <v>学士</v>
      </c>
      <c r="I25" s="8"/>
    </row>
    <row r="26" s="1" customFormat="1" ht="25" customHeight="1" spans="1:9">
      <c r="A26" s="6">
        <v>24</v>
      </c>
      <c r="B26" s="7" t="str">
        <f>"23392020040310093672"</f>
        <v>23392020040310093672</v>
      </c>
      <c r="C26" s="6" t="str">
        <f>"符玉青"</f>
        <v>符玉青</v>
      </c>
      <c r="D26" s="6" t="str">
        <f t="shared" si="16"/>
        <v>女</v>
      </c>
      <c r="E26" s="6" t="str">
        <f>"1996-02-04"</f>
        <v>1996-02-04</v>
      </c>
      <c r="F26" s="6" t="str">
        <f>"黎族"</f>
        <v>黎族</v>
      </c>
      <c r="G26" s="6" t="str">
        <f t="shared" si="13"/>
        <v>全日制本科</v>
      </c>
      <c r="H26" s="6" t="str">
        <f t="shared" si="14"/>
        <v>学士</v>
      </c>
      <c r="I26" s="8"/>
    </row>
    <row r="27" s="1" customFormat="1" ht="25" customHeight="1" spans="1:9">
      <c r="A27" s="6">
        <v>25</v>
      </c>
      <c r="B27" s="7" t="str">
        <f>"23392020040311213873"</f>
        <v>23392020040311213873</v>
      </c>
      <c r="C27" s="6" t="str">
        <f>"何远程"</f>
        <v>何远程</v>
      </c>
      <c r="D27" s="6" t="str">
        <f t="shared" si="15"/>
        <v>男</v>
      </c>
      <c r="E27" s="6" t="str">
        <f>"1995-11-12"</f>
        <v>1995-11-12</v>
      </c>
      <c r="F27" s="6" t="str">
        <f>"汉族"</f>
        <v>汉族</v>
      </c>
      <c r="G27" s="6" t="str">
        <f t="shared" si="13"/>
        <v>全日制本科</v>
      </c>
      <c r="H27" s="6" t="str">
        <f t="shared" si="14"/>
        <v>学士</v>
      </c>
      <c r="I27" s="8"/>
    </row>
    <row r="28" s="1" customFormat="1" ht="25" customHeight="1" spans="1:9">
      <c r="A28" s="6">
        <v>26</v>
      </c>
      <c r="B28" s="7" t="str">
        <f>"23392020040415044779"</f>
        <v>23392020040415044779</v>
      </c>
      <c r="C28" s="6" t="str">
        <f>"陈国街"</f>
        <v>陈国街</v>
      </c>
      <c r="D28" s="6" t="str">
        <f t="shared" si="15"/>
        <v>男</v>
      </c>
      <c r="E28" s="6" t="str">
        <f>"1992-08-18"</f>
        <v>1992-08-18</v>
      </c>
      <c r="F28" s="6" t="str">
        <f>"汉族"</f>
        <v>汉族</v>
      </c>
      <c r="G28" s="6" t="str">
        <f t="shared" si="13"/>
        <v>全日制本科</v>
      </c>
      <c r="H28" s="6" t="str">
        <f t="shared" si="14"/>
        <v>学士</v>
      </c>
      <c r="I28" s="8"/>
    </row>
    <row r="29" s="1" customFormat="1" ht="25" customHeight="1" spans="1:9">
      <c r="A29" s="6">
        <v>27</v>
      </c>
      <c r="B29" s="7" t="str">
        <f>"23392020040415051180"</f>
        <v>23392020040415051180</v>
      </c>
      <c r="C29" s="6" t="str">
        <f>"王洋"</f>
        <v>王洋</v>
      </c>
      <c r="D29" s="6" t="str">
        <f t="shared" ref="D29:D32" si="17">"女"</f>
        <v>女</v>
      </c>
      <c r="E29" s="6" t="str">
        <f>"1995-10-18"</f>
        <v>1995-10-18</v>
      </c>
      <c r="F29" s="6" t="str">
        <f>"汉族"</f>
        <v>汉族</v>
      </c>
      <c r="G29" s="6" t="str">
        <f t="shared" si="13"/>
        <v>全日制本科</v>
      </c>
      <c r="H29" s="6" t="str">
        <f t="shared" si="14"/>
        <v>学士</v>
      </c>
      <c r="I29" s="8"/>
    </row>
    <row r="30" s="1" customFormat="1" ht="25" customHeight="1" spans="1:9">
      <c r="A30" s="6">
        <v>28</v>
      </c>
      <c r="B30" s="7" t="str">
        <f>"23392020040419413781"</f>
        <v>23392020040419413781</v>
      </c>
      <c r="C30" s="6" t="str">
        <f>"王孜"</f>
        <v>王孜</v>
      </c>
      <c r="D30" s="6" t="str">
        <f t="shared" si="17"/>
        <v>女</v>
      </c>
      <c r="E30" s="6" t="str">
        <f>"1985-11-12"</f>
        <v>1985-11-12</v>
      </c>
      <c r="F30" s="6" t="str">
        <f>"汉族"</f>
        <v>汉族</v>
      </c>
      <c r="G30" s="6" t="str">
        <f t="shared" si="13"/>
        <v>全日制本科</v>
      </c>
      <c r="H30" s="6" t="str">
        <f t="shared" si="14"/>
        <v>学士</v>
      </c>
      <c r="I30" s="8"/>
    </row>
    <row r="31" s="1" customFormat="1" ht="25" customHeight="1" spans="1:9">
      <c r="A31" s="6">
        <v>29</v>
      </c>
      <c r="B31" s="7" t="str">
        <f>"23392020040507143283"</f>
        <v>23392020040507143283</v>
      </c>
      <c r="C31" s="6" t="str">
        <f>"袁昌勇"</f>
        <v>袁昌勇</v>
      </c>
      <c r="D31" s="6" t="str">
        <f>"男"</f>
        <v>男</v>
      </c>
      <c r="E31" s="6" t="str">
        <f>"1984-04-03"</f>
        <v>1984-04-03</v>
      </c>
      <c r="F31" s="6" t="str">
        <f t="shared" ref="F31:F35" si="18">"汉族"</f>
        <v>汉族</v>
      </c>
      <c r="G31" s="6" t="str">
        <f t="shared" si="13"/>
        <v>全日制本科</v>
      </c>
      <c r="H31" s="6" t="str">
        <f t="shared" si="14"/>
        <v>学士</v>
      </c>
      <c r="I31" s="8"/>
    </row>
    <row r="32" s="1" customFormat="1" ht="25" customHeight="1" spans="1:9">
      <c r="A32" s="6">
        <v>30</v>
      </c>
      <c r="B32" s="7" t="str">
        <f>"23392020040510201084"</f>
        <v>23392020040510201084</v>
      </c>
      <c r="C32" s="6" t="str">
        <f>"许译元"</f>
        <v>许译元</v>
      </c>
      <c r="D32" s="6" t="str">
        <f t="shared" si="17"/>
        <v>女</v>
      </c>
      <c r="E32" s="6" t="str">
        <f>"1997-10-24"</f>
        <v>1997-10-24</v>
      </c>
      <c r="F32" s="6" t="str">
        <f>"黎族"</f>
        <v>黎族</v>
      </c>
      <c r="G32" s="6" t="str">
        <f t="shared" si="13"/>
        <v>全日制本科</v>
      </c>
      <c r="H32" s="6" t="str">
        <f t="shared" si="14"/>
        <v>学士</v>
      </c>
      <c r="I32" s="8"/>
    </row>
    <row r="33" s="1" customFormat="1" ht="25" customHeight="1" spans="1:9">
      <c r="A33" s="6">
        <v>31</v>
      </c>
      <c r="B33" s="7" t="str">
        <f>"23392020040609593089"</f>
        <v>23392020040609593089</v>
      </c>
      <c r="C33" s="6" t="str">
        <f>"王佐翰"</f>
        <v>王佐翰</v>
      </c>
      <c r="D33" s="6" t="str">
        <f>"男"</f>
        <v>男</v>
      </c>
      <c r="E33" s="6" t="str">
        <f>"1996-02-04"</f>
        <v>1996-02-04</v>
      </c>
      <c r="F33" s="6" t="str">
        <f t="shared" si="18"/>
        <v>汉族</v>
      </c>
      <c r="G33" s="6" t="str">
        <f t="shared" si="13"/>
        <v>全日制本科</v>
      </c>
      <c r="H33" s="6" t="str">
        <f t="shared" si="14"/>
        <v>学士</v>
      </c>
      <c r="I33" s="8"/>
    </row>
    <row r="34" s="1" customFormat="1" ht="25" customHeight="1" spans="1:9">
      <c r="A34" s="6">
        <v>32</v>
      </c>
      <c r="B34" s="7" t="str">
        <f>"23392020040710270095"</f>
        <v>23392020040710270095</v>
      </c>
      <c r="C34" s="6" t="str">
        <f>"王舟"</f>
        <v>王舟</v>
      </c>
      <c r="D34" s="6" t="str">
        <f t="shared" ref="D34:D37" si="19">"女"</f>
        <v>女</v>
      </c>
      <c r="E34" s="6" t="str">
        <f>"1996-04-06"</f>
        <v>1996-04-06</v>
      </c>
      <c r="F34" s="6" t="str">
        <f t="shared" si="18"/>
        <v>汉族</v>
      </c>
      <c r="G34" s="6" t="str">
        <f t="shared" si="13"/>
        <v>全日制本科</v>
      </c>
      <c r="H34" s="6" t="str">
        <f t="shared" si="14"/>
        <v>学士</v>
      </c>
      <c r="I34" s="8"/>
    </row>
    <row r="35" s="1" customFormat="1" ht="25" customHeight="1" spans="1:9">
      <c r="A35" s="6">
        <v>33</v>
      </c>
      <c r="B35" s="7" t="str">
        <f>"23392020040710285496"</f>
        <v>23392020040710285496</v>
      </c>
      <c r="C35" s="6" t="str">
        <f>"席娇豫"</f>
        <v>席娇豫</v>
      </c>
      <c r="D35" s="6" t="str">
        <f t="shared" si="19"/>
        <v>女</v>
      </c>
      <c r="E35" s="6" t="str">
        <f>"1996-08-07"</f>
        <v>1996-08-07</v>
      </c>
      <c r="F35" s="6" t="str">
        <f t="shared" si="18"/>
        <v>汉族</v>
      </c>
      <c r="G35" s="6" t="str">
        <f t="shared" si="13"/>
        <v>全日制本科</v>
      </c>
      <c r="H35" s="6" t="str">
        <f t="shared" si="14"/>
        <v>学士</v>
      </c>
      <c r="I35" s="8"/>
    </row>
    <row r="36" s="1" customFormat="1" ht="25" customHeight="1" spans="1:9">
      <c r="A36" s="6">
        <v>34</v>
      </c>
      <c r="B36" s="7" t="str">
        <f>"23392020040711053397"</f>
        <v>23392020040711053397</v>
      </c>
      <c r="C36" s="6" t="str">
        <f>"李茜"</f>
        <v>李茜</v>
      </c>
      <c r="D36" s="6" t="str">
        <f t="shared" si="19"/>
        <v>女</v>
      </c>
      <c r="E36" s="6" t="str">
        <f>"1990-04-27"</f>
        <v>1990-04-27</v>
      </c>
      <c r="F36" s="6" t="str">
        <f>"傣族"</f>
        <v>傣族</v>
      </c>
      <c r="G36" s="6" t="str">
        <f t="shared" si="13"/>
        <v>全日制本科</v>
      </c>
      <c r="H36" s="6" t="str">
        <f t="shared" si="14"/>
        <v>学士</v>
      </c>
      <c r="I36" s="8"/>
    </row>
    <row r="37" s="1" customFormat="1" ht="25" customHeight="1" spans="1:9">
      <c r="A37" s="6">
        <v>35</v>
      </c>
      <c r="B37" s="7" t="str">
        <f>"23392020040711210598"</f>
        <v>23392020040711210598</v>
      </c>
      <c r="C37" s="6" t="str">
        <f>"刘翠改"</f>
        <v>刘翠改</v>
      </c>
      <c r="D37" s="6" t="str">
        <f t="shared" si="19"/>
        <v>女</v>
      </c>
      <c r="E37" s="6" t="str">
        <f>"1989-01-04"</f>
        <v>1989-01-04</v>
      </c>
      <c r="F37" s="6" t="s">
        <v>10</v>
      </c>
      <c r="G37" s="6" t="str">
        <f t="shared" si="13"/>
        <v>全日制本科</v>
      </c>
      <c r="H37" s="6" t="str">
        <f t="shared" si="14"/>
        <v>学士</v>
      </c>
      <c r="I37" s="8"/>
    </row>
    <row r="38" s="1" customFormat="1" ht="25" customHeight="1" spans="1:9">
      <c r="A38" s="6">
        <v>36</v>
      </c>
      <c r="B38" s="7" t="str">
        <f>"23392020040711450899"</f>
        <v>23392020040711450899</v>
      </c>
      <c r="C38" s="6" t="str">
        <f>"曾令诚"</f>
        <v>曾令诚</v>
      </c>
      <c r="D38" s="6" t="str">
        <f t="shared" ref="D38:D42" si="20">"男"</f>
        <v>男</v>
      </c>
      <c r="E38" s="6" t="str">
        <f>"1992-01-16"</f>
        <v>1992-01-16</v>
      </c>
      <c r="F38" s="6" t="s">
        <v>10</v>
      </c>
      <c r="G38" s="6" t="str">
        <f t="shared" si="13"/>
        <v>全日制本科</v>
      </c>
      <c r="H38" s="6" t="str">
        <f t="shared" si="14"/>
        <v>学士</v>
      </c>
      <c r="I38" s="8"/>
    </row>
    <row r="39" s="1" customFormat="1" ht="25" customHeight="1" spans="1:9">
      <c r="A39" s="6">
        <v>37</v>
      </c>
      <c r="B39" s="7" t="str">
        <f>"233920200407160844102"</f>
        <v>233920200407160844102</v>
      </c>
      <c r="C39" s="6" t="str">
        <f>"符卓波"</f>
        <v>符卓波</v>
      </c>
      <c r="D39" s="6" t="str">
        <f t="shared" si="20"/>
        <v>男</v>
      </c>
      <c r="E39" s="6" t="str">
        <f>"1995-10-03"</f>
        <v>1995-10-03</v>
      </c>
      <c r="F39" s="6" t="s">
        <v>10</v>
      </c>
      <c r="G39" s="6" t="str">
        <f t="shared" si="13"/>
        <v>全日制本科</v>
      </c>
      <c r="H39" s="6" t="str">
        <f t="shared" si="14"/>
        <v>学士</v>
      </c>
      <c r="I39" s="8"/>
    </row>
    <row r="40" s="1" customFormat="1" ht="25" customHeight="1" spans="1:9">
      <c r="A40" s="6">
        <v>38</v>
      </c>
      <c r="B40" s="7" t="str">
        <f>"233920200407161730104"</f>
        <v>233920200407161730104</v>
      </c>
      <c r="C40" s="6" t="str">
        <f>"王玉玫"</f>
        <v>王玉玫</v>
      </c>
      <c r="D40" s="6" t="str">
        <f t="shared" ref="D40:D45" si="21">"女"</f>
        <v>女</v>
      </c>
      <c r="E40" s="6" t="str">
        <f>"1989-04-30"</f>
        <v>1989-04-30</v>
      </c>
      <c r="F40" s="6" t="str">
        <f t="shared" ref="F40:F47" si="22">"汉族"</f>
        <v>汉族</v>
      </c>
      <c r="G40" s="6" t="str">
        <f t="shared" si="13"/>
        <v>全日制本科</v>
      </c>
      <c r="H40" s="6" t="str">
        <f t="shared" si="14"/>
        <v>学士</v>
      </c>
      <c r="I40" s="8"/>
    </row>
    <row r="41" s="1" customFormat="1" ht="25" customHeight="1" spans="1:9">
      <c r="A41" s="6">
        <v>39</v>
      </c>
      <c r="B41" s="7" t="str">
        <f>"233920200407170444105"</f>
        <v>233920200407170444105</v>
      </c>
      <c r="C41" s="6" t="str">
        <f>"胡贤娜"</f>
        <v>胡贤娜</v>
      </c>
      <c r="D41" s="6" t="str">
        <f t="shared" si="21"/>
        <v>女</v>
      </c>
      <c r="E41" s="6" t="str">
        <f>"1990-07-06"</f>
        <v>1990-07-06</v>
      </c>
      <c r="F41" s="6" t="str">
        <f>"黎族"</f>
        <v>黎族</v>
      </c>
      <c r="G41" s="6" t="str">
        <f t="shared" si="13"/>
        <v>全日制本科</v>
      </c>
      <c r="H41" s="6" t="str">
        <f t="shared" si="14"/>
        <v>学士</v>
      </c>
      <c r="I41" s="8"/>
    </row>
    <row r="42" s="1" customFormat="1" ht="25" customHeight="1" spans="1:9">
      <c r="A42" s="6">
        <v>40</v>
      </c>
      <c r="B42" s="7" t="str">
        <f>"233920200407172919107"</f>
        <v>233920200407172919107</v>
      </c>
      <c r="C42" s="6" t="str">
        <f>"林严"</f>
        <v>林严</v>
      </c>
      <c r="D42" s="6" t="str">
        <f t="shared" si="20"/>
        <v>男</v>
      </c>
      <c r="E42" s="6" t="str">
        <f>"1990-04-29"</f>
        <v>1990-04-29</v>
      </c>
      <c r="F42" s="6" t="str">
        <f>"黎族"</f>
        <v>黎族</v>
      </c>
      <c r="G42" s="6" t="str">
        <f t="shared" si="13"/>
        <v>全日制本科</v>
      </c>
      <c r="H42" s="6" t="str">
        <f t="shared" si="14"/>
        <v>学士</v>
      </c>
      <c r="I42" s="8"/>
    </row>
    <row r="43" s="1" customFormat="1" ht="25" customHeight="1" spans="1:9">
      <c r="A43" s="6">
        <v>41</v>
      </c>
      <c r="B43" s="7" t="str">
        <f>"233920200407180150108"</f>
        <v>233920200407180150108</v>
      </c>
      <c r="C43" s="6" t="str">
        <f>"刘欣"</f>
        <v>刘欣</v>
      </c>
      <c r="D43" s="6" t="str">
        <f t="shared" si="21"/>
        <v>女</v>
      </c>
      <c r="E43" s="6" t="str">
        <f>"1997-06-17"</f>
        <v>1997-06-17</v>
      </c>
      <c r="F43" s="6" t="str">
        <f t="shared" si="22"/>
        <v>汉族</v>
      </c>
      <c r="G43" s="6" t="str">
        <f t="shared" si="13"/>
        <v>全日制本科</v>
      </c>
      <c r="H43" s="6" t="str">
        <f t="shared" si="14"/>
        <v>学士</v>
      </c>
      <c r="I43" s="8"/>
    </row>
    <row r="44" s="1" customFormat="1" ht="25" customHeight="1" spans="1:9">
      <c r="A44" s="6">
        <v>42</v>
      </c>
      <c r="B44" s="7" t="str">
        <f>"233920200407202934110"</f>
        <v>233920200407202934110</v>
      </c>
      <c r="C44" s="6" t="str">
        <f>"崔杨洋"</f>
        <v>崔杨洋</v>
      </c>
      <c r="D44" s="6" t="str">
        <f t="shared" si="21"/>
        <v>女</v>
      </c>
      <c r="E44" s="6" t="str">
        <f>"1994-06-13"</f>
        <v>1994-06-13</v>
      </c>
      <c r="F44" s="6" t="str">
        <f t="shared" si="22"/>
        <v>汉族</v>
      </c>
      <c r="G44" s="6" t="str">
        <f t="shared" si="13"/>
        <v>全日制本科</v>
      </c>
      <c r="H44" s="6" t="str">
        <f t="shared" si="14"/>
        <v>学士</v>
      </c>
      <c r="I44" s="8"/>
    </row>
    <row r="45" s="1" customFormat="1" ht="25" customHeight="1" spans="1:9">
      <c r="A45" s="6">
        <v>43</v>
      </c>
      <c r="B45" s="7" t="str">
        <f>"233920200407211453111"</f>
        <v>233920200407211453111</v>
      </c>
      <c r="C45" s="6" t="str">
        <f>"陈相余"</f>
        <v>陈相余</v>
      </c>
      <c r="D45" s="6" t="str">
        <f t="shared" si="21"/>
        <v>女</v>
      </c>
      <c r="E45" s="6" t="str">
        <f>"1999-04-13"</f>
        <v>1999-04-13</v>
      </c>
      <c r="F45" s="6" t="str">
        <f t="shared" si="22"/>
        <v>汉族</v>
      </c>
      <c r="G45" s="6" t="str">
        <f t="shared" si="13"/>
        <v>全日制本科</v>
      </c>
      <c r="H45" s="6" t="str">
        <f t="shared" si="14"/>
        <v>学士</v>
      </c>
      <c r="I45" s="8"/>
    </row>
    <row r="46" s="1" customFormat="1" ht="25" customHeight="1" spans="1:9">
      <c r="A46" s="6">
        <v>44</v>
      </c>
      <c r="B46" s="7" t="str">
        <f>"233920200407223404113"</f>
        <v>233920200407223404113</v>
      </c>
      <c r="C46" s="6" t="str">
        <f>"翁良庆"</f>
        <v>翁良庆</v>
      </c>
      <c r="D46" s="6" t="str">
        <f>"男"</f>
        <v>男</v>
      </c>
      <c r="E46" s="6" t="str">
        <f>"1989-05-08"</f>
        <v>1989-05-08</v>
      </c>
      <c r="F46" s="6" t="str">
        <f t="shared" si="22"/>
        <v>汉族</v>
      </c>
      <c r="G46" s="6" t="str">
        <f t="shared" si="13"/>
        <v>全日制本科</v>
      </c>
      <c r="H46" s="6" t="str">
        <f t="shared" si="14"/>
        <v>学士</v>
      </c>
      <c r="I46" s="8"/>
    </row>
    <row r="47" s="1" customFormat="1" ht="25" customHeight="1" spans="1:9">
      <c r="A47" s="6">
        <v>45</v>
      </c>
      <c r="B47" s="7" t="str">
        <f>"233920200408095146114"</f>
        <v>233920200408095146114</v>
      </c>
      <c r="C47" s="6" t="str">
        <f>"吴晓琳"</f>
        <v>吴晓琳</v>
      </c>
      <c r="D47" s="6" t="str">
        <f t="shared" ref="D47:D53" si="23">"女"</f>
        <v>女</v>
      </c>
      <c r="E47" s="6" t="str">
        <f>"1990-05-28"</f>
        <v>1990-05-28</v>
      </c>
      <c r="F47" s="6" t="str">
        <f t="shared" si="22"/>
        <v>汉族</v>
      </c>
      <c r="G47" s="6" t="str">
        <f t="shared" si="13"/>
        <v>全日制本科</v>
      </c>
      <c r="H47" s="6" t="str">
        <f t="shared" si="14"/>
        <v>学士</v>
      </c>
      <c r="I47" s="8"/>
    </row>
    <row r="48" s="1" customFormat="1" ht="25" customHeight="1" spans="1:9">
      <c r="A48" s="6">
        <v>46</v>
      </c>
      <c r="B48" s="7" t="str">
        <f>"233920200408190050121"</f>
        <v>233920200408190050121</v>
      </c>
      <c r="C48" s="6" t="str">
        <f>"王雪妍"</f>
        <v>王雪妍</v>
      </c>
      <c r="D48" s="6" t="str">
        <f t="shared" si="23"/>
        <v>女</v>
      </c>
      <c r="E48" s="6" t="str">
        <f>"1991-06-23"</f>
        <v>1991-06-23</v>
      </c>
      <c r="F48" s="6" t="str">
        <f t="shared" ref="F48:F52" si="24">"汉族"</f>
        <v>汉族</v>
      </c>
      <c r="G48" s="6" t="str">
        <f t="shared" si="13"/>
        <v>全日制本科</v>
      </c>
      <c r="H48" s="6" t="str">
        <f t="shared" si="14"/>
        <v>学士</v>
      </c>
      <c r="I48" s="8"/>
    </row>
    <row r="49" s="1" customFormat="1" ht="25" customHeight="1" spans="1:9">
      <c r="A49" s="6">
        <v>47</v>
      </c>
      <c r="B49" s="7" t="str">
        <f>"233920200409095513126"</f>
        <v>233920200409095513126</v>
      </c>
      <c r="C49" s="6" t="str">
        <f>"符长凤"</f>
        <v>符长凤</v>
      </c>
      <c r="D49" s="6" t="str">
        <f t="shared" si="23"/>
        <v>女</v>
      </c>
      <c r="E49" s="6" t="str">
        <f>"1991-06-30"</f>
        <v>1991-06-30</v>
      </c>
      <c r="F49" s="6" t="s">
        <v>12</v>
      </c>
      <c r="G49" s="6" t="str">
        <f t="shared" si="13"/>
        <v>全日制本科</v>
      </c>
      <c r="H49" s="6" t="str">
        <f t="shared" si="14"/>
        <v>学士</v>
      </c>
      <c r="I49" s="8"/>
    </row>
    <row r="50" s="1" customFormat="1" ht="25" customHeight="1" spans="1:9">
      <c r="A50" s="6">
        <v>48</v>
      </c>
      <c r="B50" s="7" t="str">
        <f>"233920200409114345129"</f>
        <v>233920200409114345129</v>
      </c>
      <c r="C50" s="6" t="str">
        <f>"符志甄"</f>
        <v>符志甄</v>
      </c>
      <c r="D50" s="6" t="str">
        <f t="shared" si="23"/>
        <v>女</v>
      </c>
      <c r="E50" s="6" t="str">
        <f>"1999-09-30"</f>
        <v>1999-09-30</v>
      </c>
      <c r="F50" s="6" t="str">
        <f t="shared" si="24"/>
        <v>汉族</v>
      </c>
      <c r="G50" s="6" t="str">
        <f t="shared" si="13"/>
        <v>全日制本科</v>
      </c>
      <c r="H50" s="6" t="str">
        <f t="shared" si="14"/>
        <v>学士</v>
      </c>
      <c r="I50" s="8"/>
    </row>
    <row r="51" s="1" customFormat="1" ht="25" customHeight="1" spans="1:9">
      <c r="A51" s="6">
        <v>49</v>
      </c>
      <c r="B51" s="7" t="str">
        <f>"233920200409133758132"</f>
        <v>233920200409133758132</v>
      </c>
      <c r="C51" s="6" t="str">
        <f>"赵丹"</f>
        <v>赵丹</v>
      </c>
      <c r="D51" s="6" t="str">
        <f t="shared" si="23"/>
        <v>女</v>
      </c>
      <c r="E51" s="6" t="str">
        <f>"1987-01-04"</f>
        <v>1987-01-04</v>
      </c>
      <c r="F51" s="6" t="s">
        <v>10</v>
      </c>
      <c r="G51" s="6" t="str">
        <f>"研究生"</f>
        <v>研究生</v>
      </c>
      <c r="H51" s="6" t="str">
        <f>"硕士"</f>
        <v>硕士</v>
      </c>
      <c r="I51" s="8"/>
    </row>
    <row r="52" s="1" customFormat="1" ht="25" customHeight="1" spans="1:9">
      <c r="A52" s="6">
        <v>50</v>
      </c>
      <c r="B52" s="7" t="str">
        <f>"233920200409154307135"</f>
        <v>233920200409154307135</v>
      </c>
      <c r="C52" s="6" t="str">
        <f>"武梦璇"</f>
        <v>武梦璇</v>
      </c>
      <c r="D52" s="6" t="str">
        <f t="shared" si="23"/>
        <v>女</v>
      </c>
      <c r="E52" s="6" t="str">
        <f>"1997-04-13"</f>
        <v>1997-04-13</v>
      </c>
      <c r="F52" s="6" t="str">
        <f t="shared" si="24"/>
        <v>汉族</v>
      </c>
      <c r="G52" s="6" t="str">
        <f t="shared" ref="G52:G54" si="25">"全日制本科"</f>
        <v>全日制本科</v>
      </c>
      <c r="H52" s="6" t="str">
        <f t="shared" ref="H52:H54" si="26">"学士"</f>
        <v>学士</v>
      </c>
      <c r="I52" s="8"/>
    </row>
    <row r="53" s="1" customFormat="1" ht="25" customHeight="1" spans="1:9">
      <c r="A53" s="6">
        <v>51</v>
      </c>
      <c r="B53" s="7" t="str">
        <f>"233920200409155529136"</f>
        <v>233920200409155529136</v>
      </c>
      <c r="C53" s="6" t="str">
        <f>"姚婷婷"</f>
        <v>姚婷婷</v>
      </c>
      <c r="D53" s="6" t="str">
        <f t="shared" si="23"/>
        <v>女</v>
      </c>
      <c r="E53" s="6" t="str">
        <f>"1996-11-20"</f>
        <v>1996-11-20</v>
      </c>
      <c r="F53" s="6" t="s">
        <v>10</v>
      </c>
      <c r="G53" s="6" t="str">
        <f t="shared" si="25"/>
        <v>全日制本科</v>
      </c>
      <c r="H53" s="6" t="str">
        <f t="shared" si="26"/>
        <v>学士</v>
      </c>
      <c r="I53" s="8"/>
    </row>
    <row r="54" s="1" customFormat="1" ht="25" customHeight="1" spans="1:9">
      <c r="A54" s="6">
        <v>52</v>
      </c>
      <c r="B54" s="7" t="str">
        <f>"233920200409234050142"</f>
        <v>233920200409234050142</v>
      </c>
      <c r="C54" s="6" t="str">
        <f>"罗天润"</f>
        <v>罗天润</v>
      </c>
      <c r="D54" s="6" t="str">
        <f t="shared" ref="D54:D58" si="27">"男"</f>
        <v>男</v>
      </c>
      <c r="E54" s="6" t="str">
        <f>"1997-08-15"</f>
        <v>1997-08-15</v>
      </c>
      <c r="F54" s="6" t="str">
        <f t="shared" ref="F54:F58" si="28">"汉族"</f>
        <v>汉族</v>
      </c>
      <c r="G54" s="6" t="str">
        <f t="shared" si="25"/>
        <v>全日制本科</v>
      </c>
      <c r="H54" s="6" t="str">
        <f t="shared" si="26"/>
        <v>学士</v>
      </c>
      <c r="I54" s="8"/>
    </row>
    <row r="55" s="1" customFormat="1" ht="25" customHeight="1" spans="1:9">
      <c r="A55" s="6">
        <v>53</v>
      </c>
      <c r="B55" s="7" t="str">
        <f>"233920200410020004143"</f>
        <v>233920200410020004143</v>
      </c>
      <c r="C55" s="6" t="str">
        <f>"蔡樱"</f>
        <v>蔡樱</v>
      </c>
      <c r="D55" s="6" t="str">
        <f t="shared" ref="D55:D62" si="29">"女"</f>
        <v>女</v>
      </c>
      <c r="E55" s="6" t="str">
        <f>"1995-01-11"</f>
        <v>1995-01-11</v>
      </c>
      <c r="F55" s="6" t="str">
        <f t="shared" si="28"/>
        <v>汉族</v>
      </c>
      <c r="G55" s="6" t="str">
        <f>"研究生"</f>
        <v>研究生</v>
      </c>
      <c r="H55" s="6" t="str">
        <f>"硕士"</f>
        <v>硕士</v>
      </c>
      <c r="I55" s="8"/>
    </row>
    <row r="56" s="1" customFormat="1" ht="25" customHeight="1" spans="1:9">
      <c r="A56" s="6">
        <v>54</v>
      </c>
      <c r="B56" s="7" t="str">
        <f>"233920200410091515144"</f>
        <v>233920200410091515144</v>
      </c>
      <c r="C56" s="6" t="str">
        <f>"邱建威"</f>
        <v>邱建威</v>
      </c>
      <c r="D56" s="6" t="str">
        <f t="shared" si="27"/>
        <v>男</v>
      </c>
      <c r="E56" s="6" t="str">
        <f>"1995-05-07"</f>
        <v>1995-05-07</v>
      </c>
      <c r="F56" s="6" t="s">
        <v>10</v>
      </c>
      <c r="G56" s="6" t="str">
        <f t="shared" ref="G56:G63" si="30">"全日制本科"</f>
        <v>全日制本科</v>
      </c>
      <c r="H56" s="6" t="str">
        <f t="shared" ref="H56:H63" si="31">"学士"</f>
        <v>学士</v>
      </c>
      <c r="I56" s="8"/>
    </row>
    <row r="57" s="1" customFormat="1" ht="25" customHeight="1" spans="1:9">
      <c r="A57" s="6">
        <v>55</v>
      </c>
      <c r="B57" s="7" t="str">
        <f>"233920200410111840145"</f>
        <v>233920200410111840145</v>
      </c>
      <c r="C57" s="6" t="str">
        <f>"邓晶莹"</f>
        <v>邓晶莹</v>
      </c>
      <c r="D57" s="6" t="str">
        <f t="shared" si="29"/>
        <v>女</v>
      </c>
      <c r="E57" s="6" t="str">
        <f>"1997-04-14"</f>
        <v>1997-04-14</v>
      </c>
      <c r="F57" s="6" t="str">
        <f>"黎族"</f>
        <v>黎族</v>
      </c>
      <c r="G57" s="6" t="str">
        <f t="shared" si="30"/>
        <v>全日制本科</v>
      </c>
      <c r="H57" s="6" t="str">
        <f t="shared" si="31"/>
        <v>学士</v>
      </c>
      <c r="I57" s="8"/>
    </row>
    <row r="58" s="1" customFormat="1" ht="25" customHeight="1" spans="1:9">
      <c r="A58" s="6">
        <v>56</v>
      </c>
      <c r="B58" s="7" t="str">
        <f>"233920200410111920146"</f>
        <v>233920200410111920146</v>
      </c>
      <c r="C58" s="6" t="str">
        <f>"文宠斌"</f>
        <v>文宠斌</v>
      </c>
      <c r="D58" s="6" t="str">
        <f t="shared" si="27"/>
        <v>男</v>
      </c>
      <c r="E58" s="6" t="str">
        <f>"1993-07-29"</f>
        <v>1993-07-29</v>
      </c>
      <c r="F58" s="6" t="str">
        <f t="shared" si="28"/>
        <v>汉族</v>
      </c>
      <c r="G58" s="6" t="str">
        <f t="shared" si="30"/>
        <v>全日制本科</v>
      </c>
      <c r="H58" s="6" t="str">
        <f t="shared" si="31"/>
        <v>学士</v>
      </c>
      <c r="I58" s="8"/>
    </row>
    <row r="59" s="1" customFormat="1" ht="25" customHeight="1" spans="1:9">
      <c r="A59" s="6">
        <v>57</v>
      </c>
      <c r="B59" s="7" t="str">
        <f>"233920200410131342147"</f>
        <v>233920200410131342147</v>
      </c>
      <c r="C59" s="6" t="str">
        <f>"符雪柔"</f>
        <v>符雪柔</v>
      </c>
      <c r="D59" s="6" t="str">
        <f t="shared" si="29"/>
        <v>女</v>
      </c>
      <c r="E59" s="6" t="str">
        <f>"1996-07-02"</f>
        <v>1996-07-02</v>
      </c>
      <c r="F59" s="6" t="str">
        <f>"黎族"</f>
        <v>黎族</v>
      </c>
      <c r="G59" s="6" t="str">
        <f t="shared" si="30"/>
        <v>全日制本科</v>
      </c>
      <c r="H59" s="6" t="str">
        <f t="shared" si="31"/>
        <v>学士</v>
      </c>
      <c r="I59" s="8"/>
    </row>
    <row r="60" s="1" customFormat="1" ht="25" customHeight="1" spans="1:9">
      <c r="A60" s="6">
        <v>58</v>
      </c>
      <c r="B60" s="7" t="str">
        <f>"233920200410162255148"</f>
        <v>233920200410162255148</v>
      </c>
      <c r="C60" s="6" t="str">
        <f>"桂晓玲"</f>
        <v>桂晓玲</v>
      </c>
      <c r="D60" s="6" t="str">
        <f t="shared" si="29"/>
        <v>女</v>
      </c>
      <c r="E60" s="6" t="str">
        <f>"1996-12-02"</f>
        <v>1996-12-02</v>
      </c>
      <c r="F60" s="6" t="s">
        <v>10</v>
      </c>
      <c r="G60" s="6" t="str">
        <f t="shared" si="30"/>
        <v>全日制本科</v>
      </c>
      <c r="H60" s="6" t="str">
        <f t="shared" si="31"/>
        <v>学士</v>
      </c>
      <c r="I60" s="8"/>
    </row>
    <row r="61" s="1" customFormat="1" ht="25" customHeight="1" spans="1:9">
      <c r="A61" s="6">
        <v>59</v>
      </c>
      <c r="B61" s="7" t="str">
        <f>"233920200410185556149"</f>
        <v>233920200410185556149</v>
      </c>
      <c r="C61" s="6" t="str">
        <f>"祝欢欣"</f>
        <v>祝欢欣</v>
      </c>
      <c r="D61" s="6" t="str">
        <f t="shared" si="29"/>
        <v>女</v>
      </c>
      <c r="E61" s="6" t="str">
        <f>"1995-05-03"</f>
        <v>1995-05-03</v>
      </c>
      <c r="F61" s="6" t="str">
        <f t="shared" ref="F61:F70" si="32">"汉族"</f>
        <v>汉族</v>
      </c>
      <c r="G61" s="6" t="str">
        <f t="shared" si="30"/>
        <v>全日制本科</v>
      </c>
      <c r="H61" s="6" t="str">
        <f t="shared" si="31"/>
        <v>学士</v>
      </c>
      <c r="I61" s="8"/>
    </row>
    <row r="62" s="1" customFormat="1" ht="25" customHeight="1" spans="1:9">
      <c r="A62" s="6">
        <v>60</v>
      </c>
      <c r="B62" s="7" t="str">
        <f>"233920200411095427151"</f>
        <v>233920200411095427151</v>
      </c>
      <c r="C62" s="6" t="str">
        <f>"张翠婉"</f>
        <v>张翠婉</v>
      </c>
      <c r="D62" s="6" t="str">
        <f t="shared" si="29"/>
        <v>女</v>
      </c>
      <c r="E62" s="6" t="str">
        <f>"1995-11-18"</f>
        <v>1995-11-18</v>
      </c>
      <c r="F62" s="6" t="str">
        <f t="shared" si="32"/>
        <v>汉族</v>
      </c>
      <c r="G62" s="6" t="str">
        <f t="shared" si="30"/>
        <v>全日制本科</v>
      </c>
      <c r="H62" s="6" t="str">
        <f t="shared" si="31"/>
        <v>学士</v>
      </c>
      <c r="I62" s="8"/>
    </row>
    <row r="63" s="1" customFormat="1" ht="25" customHeight="1" spans="1:9">
      <c r="A63" s="6">
        <v>61</v>
      </c>
      <c r="B63" s="7" t="str">
        <f>"233920200411162124152"</f>
        <v>233920200411162124152</v>
      </c>
      <c r="C63" s="6" t="str">
        <f>"符才锦"</f>
        <v>符才锦</v>
      </c>
      <c r="D63" s="6" t="str">
        <f t="shared" ref="D63:D67" si="33">"男"</f>
        <v>男</v>
      </c>
      <c r="E63" s="6" t="str">
        <f>"1990-07-11"</f>
        <v>1990-07-11</v>
      </c>
      <c r="F63" s="6" t="str">
        <f>"黎族"</f>
        <v>黎族</v>
      </c>
      <c r="G63" s="6" t="str">
        <f t="shared" si="30"/>
        <v>全日制本科</v>
      </c>
      <c r="H63" s="6" t="str">
        <f t="shared" si="31"/>
        <v>学士</v>
      </c>
      <c r="I63" s="8"/>
    </row>
    <row r="64" s="1" customFormat="1" ht="25" customHeight="1" spans="1:9">
      <c r="A64" s="6">
        <v>62</v>
      </c>
      <c r="B64" s="7" t="str">
        <f>"233920200413134633163"</f>
        <v>233920200413134633163</v>
      </c>
      <c r="C64" s="6" t="str">
        <f>"董宇"</f>
        <v>董宇</v>
      </c>
      <c r="D64" s="6" t="str">
        <f t="shared" si="33"/>
        <v>男</v>
      </c>
      <c r="E64" s="6" t="str">
        <f>"1989-05-08"</f>
        <v>1989-05-08</v>
      </c>
      <c r="F64" s="6" t="s">
        <v>10</v>
      </c>
      <c r="G64" s="6" t="str">
        <f>"研究生"</f>
        <v>研究生</v>
      </c>
      <c r="H64" s="6" t="str">
        <f>"硕士"</f>
        <v>硕士</v>
      </c>
      <c r="I64" s="8"/>
    </row>
    <row r="65" s="1" customFormat="1" ht="25" customHeight="1" spans="1:9">
      <c r="A65" s="6">
        <v>63</v>
      </c>
      <c r="B65" s="7" t="str">
        <f>"233920200413184719165"</f>
        <v>233920200413184719165</v>
      </c>
      <c r="C65" s="6" t="str">
        <f>"王蓝燕"</f>
        <v>王蓝燕</v>
      </c>
      <c r="D65" s="6" t="str">
        <f t="shared" ref="D65:D68" si="34">"女"</f>
        <v>女</v>
      </c>
      <c r="E65" s="6" t="str">
        <f>"1989-06-03"</f>
        <v>1989-06-03</v>
      </c>
      <c r="F65" s="6" t="str">
        <f t="shared" si="32"/>
        <v>汉族</v>
      </c>
      <c r="G65" s="6" t="str">
        <f t="shared" ref="G65:G72" si="35">"全日制本科"</f>
        <v>全日制本科</v>
      </c>
      <c r="H65" s="6" t="str">
        <f t="shared" ref="H65:H72" si="36">"学士"</f>
        <v>学士</v>
      </c>
      <c r="I65" s="8"/>
    </row>
    <row r="66" s="1" customFormat="1" ht="25" customHeight="1" spans="1:9">
      <c r="A66" s="6">
        <v>64</v>
      </c>
      <c r="B66" s="7" t="str">
        <f>"233920200413203245166"</f>
        <v>233920200413203245166</v>
      </c>
      <c r="C66" s="6" t="str">
        <f>"冼琳韵"</f>
        <v>冼琳韵</v>
      </c>
      <c r="D66" s="6" t="str">
        <f t="shared" si="34"/>
        <v>女</v>
      </c>
      <c r="E66" s="6" t="str">
        <f>"1992-11-09"</f>
        <v>1992-11-09</v>
      </c>
      <c r="F66" s="6" t="str">
        <f t="shared" si="32"/>
        <v>汉族</v>
      </c>
      <c r="G66" s="6" t="str">
        <f t="shared" si="35"/>
        <v>全日制本科</v>
      </c>
      <c r="H66" s="6" t="str">
        <f t="shared" si="36"/>
        <v>学士</v>
      </c>
      <c r="I66" s="8"/>
    </row>
    <row r="67" s="1" customFormat="1" ht="25" customHeight="1" spans="1:9">
      <c r="A67" s="6">
        <v>65</v>
      </c>
      <c r="B67" s="7" t="str">
        <f>"233920200413204711167"</f>
        <v>233920200413204711167</v>
      </c>
      <c r="C67" s="6" t="str">
        <f>"周琦力"</f>
        <v>周琦力</v>
      </c>
      <c r="D67" s="6" t="str">
        <f t="shared" si="33"/>
        <v>男</v>
      </c>
      <c r="E67" s="6" t="str">
        <f>"1991-10-03"</f>
        <v>1991-10-03</v>
      </c>
      <c r="F67" s="6" t="str">
        <f t="shared" si="32"/>
        <v>汉族</v>
      </c>
      <c r="G67" s="6" t="str">
        <f t="shared" si="35"/>
        <v>全日制本科</v>
      </c>
      <c r="H67" s="6" t="str">
        <f t="shared" si="36"/>
        <v>学士</v>
      </c>
      <c r="I67" s="8"/>
    </row>
    <row r="68" s="1" customFormat="1" ht="25" customHeight="1" spans="1:9">
      <c r="A68" s="6">
        <v>66</v>
      </c>
      <c r="B68" s="7" t="str">
        <f>"233920200413220630168"</f>
        <v>233920200413220630168</v>
      </c>
      <c r="C68" s="6" t="str">
        <f>"余佳敏"</f>
        <v>余佳敏</v>
      </c>
      <c r="D68" s="6" t="str">
        <f t="shared" si="34"/>
        <v>女</v>
      </c>
      <c r="E68" s="6" t="str">
        <f>"1995-06-10"</f>
        <v>1995-06-10</v>
      </c>
      <c r="F68" s="6" t="str">
        <f t="shared" si="32"/>
        <v>汉族</v>
      </c>
      <c r="G68" s="6" t="str">
        <f t="shared" si="35"/>
        <v>全日制本科</v>
      </c>
      <c r="H68" s="6" t="str">
        <f t="shared" si="36"/>
        <v>学士</v>
      </c>
      <c r="I68" s="8"/>
    </row>
    <row r="69" s="1" customFormat="1" ht="25" customHeight="1" spans="1:9">
      <c r="A69" s="6">
        <v>67</v>
      </c>
      <c r="B69" s="7" t="str">
        <f>"233920200414091838169"</f>
        <v>233920200414091838169</v>
      </c>
      <c r="C69" s="6" t="str">
        <f>"易斌"</f>
        <v>易斌</v>
      </c>
      <c r="D69" s="6" t="str">
        <f>"男"</f>
        <v>男</v>
      </c>
      <c r="E69" s="6" t="str">
        <f>"1994-03-06"</f>
        <v>1994-03-06</v>
      </c>
      <c r="F69" s="6" t="str">
        <f t="shared" si="32"/>
        <v>汉族</v>
      </c>
      <c r="G69" s="6" t="str">
        <f t="shared" si="35"/>
        <v>全日制本科</v>
      </c>
      <c r="H69" s="6" t="str">
        <f t="shared" si="36"/>
        <v>学士</v>
      </c>
      <c r="I69" s="8"/>
    </row>
    <row r="70" s="1" customFormat="1" ht="25" customHeight="1" spans="1:9">
      <c r="A70" s="6">
        <v>68</v>
      </c>
      <c r="B70" s="7" t="str">
        <f>"233920200415201815174"</f>
        <v>233920200415201815174</v>
      </c>
      <c r="C70" s="6" t="str">
        <f>"欧泽荟"</f>
        <v>欧泽荟</v>
      </c>
      <c r="D70" s="6" t="str">
        <f t="shared" ref="D70:D74" si="37">"女"</f>
        <v>女</v>
      </c>
      <c r="E70" s="6" t="str">
        <f>"1993-01-13"</f>
        <v>1993-01-13</v>
      </c>
      <c r="F70" s="6" t="str">
        <f t="shared" si="32"/>
        <v>汉族</v>
      </c>
      <c r="G70" s="6" t="str">
        <f t="shared" si="35"/>
        <v>全日制本科</v>
      </c>
      <c r="H70" s="6" t="str">
        <f t="shared" si="36"/>
        <v>学士</v>
      </c>
      <c r="I70" s="8"/>
    </row>
    <row r="71" s="1" customFormat="1" ht="25" customHeight="1" spans="1:9">
      <c r="A71" s="6">
        <v>69</v>
      </c>
      <c r="B71" s="7" t="str">
        <f>"233920200416082812175"</f>
        <v>233920200416082812175</v>
      </c>
      <c r="C71" s="6" t="str">
        <f>"胡睿喆"</f>
        <v>胡睿喆</v>
      </c>
      <c r="D71" s="6" t="str">
        <f>"男"</f>
        <v>男</v>
      </c>
      <c r="E71" s="6" t="str">
        <f>"1995-06-11"</f>
        <v>1995-06-11</v>
      </c>
      <c r="F71" s="6" t="str">
        <f t="shared" ref="F71:F78" si="38">"汉族"</f>
        <v>汉族</v>
      </c>
      <c r="G71" s="6" t="str">
        <f t="shared" si="35"/>
        <v>全日制本科</v>
      </c>
      <c r="H71" s="6" t="str">
        <f t="shared" si="36"/>
        <v>学士</v>
      </c>
      <c r="I71" s="8"/>
    </row>
    <row r="72" s="1" customFormat="1" ht="25" customHeight="1" spans="1:9">
      <c r="A72" s="6">
        <v>70</v>
      </c>
      <c r="B72" s="7" t="str">
        <f>"233920200416101244176"</f>
        <v>233920200416101244176</v>
      </c>
      <c r="C72" s="6" t="str">
        <f>"张能望"</f>
        <v>张能望</v>
      </c>
      <c r="D72" s="6" t="str">
        <f t="shared" si="37"/>
        <v>女</v>
      </c>
      <c r="E72" s="6" t="str">
        <f>"1989-09-22"</f>
        <v>1989-09-22</v>
      </c>
      <c r="F72" s="6" t="str">
        <f>"布依族"</f>
        <v>布依族</v>
      </c>
      <c r="G72" s="6" t="str">
        <f t="shared" si="35"/>
        <v>全日制本科</v>
      </c>
      <c r="H72" s="6" t="str">
        <f t="shared" si="36"/>
        <v>学士</v>
      </c>
      <c r="I72" s="8"/>
    </row>
    <row r="73" s="1" customFormat="1" ht="25" customHeight="1" spans="1:9">
      <c r="A73" s="6">
        <v>71</v>
      </c>
      <c r="B73" s="7" t="str">
        <f>"233920200416213501180"</f>
        <v>233920200416213501180</v>
      </c>
      <c r="C73" s="6" t="str">
        <f>"姜海水"</f>
        <v>姜海水</v>
      </c>
      <c r="D73" s="6" t="str">
        <f t="shared" si="37"/>
        <v>女</v>
      </c>
      <c r="E73" s="6" t="str">
        <f>"1988-10-06"</f>
        <v>1988-10-06</v>
      </c>
      <c r="F73" s="6" t="str">
        <f>"蒙古族"</f>
        <v>蒙古族</v>
      </c>
      <c r="G73" s="6" t="str">
        <f>"研究生"</f>
        <v>研究生</v>
      </c>
      <c r="H73" s="6" t="str">
        <f>"硕士"</f>
        <v>硕士</v>
      </c>
      <c r="I73" s="8"/>
    </row>
    <row r="74" s="1" customFormat="1" ht="25" customHeight="1" spans="1:9">
      <c r="A74" s="6">
        <v>72</v>
      </c>
      <c r="B74" s="7" t="str">
        <f>"233920200417165938182"</f>
        <v>233920200417165938182</v>
      </c>
      <c r="C74" s="6" t="str">
        <f>"杨明嘉"</f>
        <v>杨明嘉</v>
      </c>
      <c r="D74" s="6" t="str">
        <f t="shared" si="37"/>
        <v>女</v>
      </c>
      <c r="E74" s="6" t="str">
        <f>"1996-03-29"</f>
        <v>1996-03-29</v>
      </c>
      <c r="F74" s="6" t="str">
        <f t="shared" si="38"/>
        <v>汉族</v>
      </c>
      <c r="G74" s="6" t="str">
        <f t="shared" ref="G74:G83" si="39">"全日制本科"</f>
        <v>全日制本科</v>
      </c>
      <c r="H74" s="6" t="str">
        <f t="shared" ref="H74:H83" si="40">"学士"</f>
        <v>学士</v>
      </c>
      <c r="I74" s="8"/>
    </row>
    <row r="75" s="1" customFormat="1" ht="25" customHeight="1" spans="1:9">
      <c r="A75" s="6">
        <v>73</v>
      </c>
      <c r="B75" s="7" t="str">
        <f>"233920200417224754184"</f>
        <v>233920200417224754184</v>
      </c>
      <c r="C75" s="6" t="str">
        <f>"余绍圣"</f>
        <v>余绍圣</v>
      </c>
      <c r="D75" s="6" t="str">
        <f>"男"</f>
        <v>男</v>
      </c>
      <c r="E75" s="6" t="str">
        <f>"1997-04-29"</f>
        <v>1997-04-29</v>
      </c>
      <c r="F75" s="6" t="str">
        <f t="shared" si="38"/>
        <v>汉族</v>
      </c>
      <c r="G75" s="6" t="str">
        <f t="shared" si="39"/>
        <v>全日制本科</v>
      </c>
      <c r="H75" s="6" t="str">
        <f t="shared" si="40"/>
        <v>学士</v>
      </c>
      <c r="I75" s="8"/>
    </row>
    <row r="76" s="1" customFormat="1" ht="25" customHeight="1" spans="1:9">
      <c r="A76" s="6">
        <v>74</v>
      </c>
      <c r="B76" s="7" t="str">
        <f>"233920200418093913185"</f>
        <v>233920200418093913185</v>
      </c>
      <c r="C76" s="6" t="str">
        <f>"苏兰兰"</f>
        <v>苏兰兰</v>
      </c>
      <c r="D76" s="6" t="str">
        <f t="shared" ref="D76:D79" si="41">"女"</f>
        <v>女</v>
      </c>
      <c r="E76" s="6" t="str">
        <f>"1991-10-28"</f>
        <v>1991-10-28</v>
      </c>
      <c r="F76" s="6" t="str">
        <f t="shared" si="38"/>
        <v>汉族</v>
      </c>
      <c r="G76" s="6" t="str">
        <f t="shared" si="39"/>
        <v>全日制本科</v>
      </c>
      <c r="H76" s="6" t="str">
        <f t="shared" si="40"/>
        <v>学士</v>
      </c>
      <c r="I76" s="8"/>
    </row>
    <row r="77" s="1" customFormat="1" ht="25" customHeight="1" spans="1:9">
      <c r="A77" s="6">
        <v>75</v>
      </c>
      <c r="B77" s="7" t="str">
        <f>"233920200418141124186"</f>
        <v>233920200418141124186</v>
      </c>
      <c r="C77" s="6" t="str">
        <f>"梁左倩"</f>
        <v>梁左倩</v>
      </c>
      <c r="D77" s="6" t="str">
        <f t="shared" si="41"/>
        <v>女</v>
      </c>
      <c r="E77" s="6" t="str">
        <f>"1996-10-05"</f>
        <v>1996-10-05</v>
      </c>
      <c r="F77" s="6" t="str">
        <f t="shared" si="38"/>
        <v>汉族</v>
      </c>
      <c r="G77" s="6" t="str">
        <f t="shared" si="39"/>
        <v>全日制本科</v>
      </c>
      <c r="H77" s="6" t="str">
        <f t="shared" si="40"/>
        <v>学士</v>
      </c>
      <c r="I77" s="8"/>
    </row>
    <row r="78" s="1" customFormat="1" ht="25" customHeight="1" spans="1:9">
      <c r="A78" s="6">
        <v>76</v>
      </c>
      <c r="B78" s="7" t="str">
        <f>"233920200419111716188"</f>
        <v>233920200419111716188</v>
      </c>
      <c r="C78" s="6" t="str">
        <f>"张海轮"</f>
        <v>张海轮</v>
      </c>
      <c r="D78" s="6" t="str">
        <f t="shared" si="41"/>
        <v>女</v>
      </c>
      <c r="E78" s="6" t="str">
        <f>"1995-10-23"</f>
        <v>1995-10-23</v>
      </c>
      <c r="F78" s="6" t="str">
        <f t="shared" si="38"/>
        <v>汉族</v>
      </c>
      <c r="G78" s="6" t="str">
        <f t="shared" si="39"/>
        <v>全日制本科</v>
      </c>
      <c r="H78" s="6" t="str">
        <f t="shared" si="40"/>
        <v>学士</v>
      </c>
      <c r="I78" s="8"/>
    </row>
    <row r="79" s="1" customFormat="1" ht="25" customHeight="1" spans="1:9">
      <c r="A79" s="6">
        <v>77</v>
      </c>
      <c r="B79" s="7" t="str">
        <f>"233920200419132941189"</f>
        <v>233920200419132941189</v>
      </c>
      <c r="C79" s="6" t="str">
        <f>"王娥"</f>
        <v>王娥</v>
      </c>
      <c r="D79" s="6" t="str">
        <f t="shared" si="41"/>
        <v>女</v>
      </c>
      <c r="E79" s="6" t="str">
        <f>"1994-02-03"</f>
        <v>1994-02-03</v>
      </c>
      <c r="F79" s="6" t="str">
        <f t="shared" ref="F79:F84" si="42">"汉族"</f>
        <v>汉族</v>
      </c>
      <c r="G79" s="6" t="str">
        <f t="shared" si="39"/>
        <v>全日制本科</v>
      </c>
      <c r="H79" s="6" t="str">
        <f t="shared" si="40"/>
        <v>学士</v>
      </c>
      <c r="I79" s="8"/>
    </row>
    <row r="80" s="1" customFormat="1" ht="25" customHeight="1" spans="1:9">
      <c r="A80" s="6">
        <v>78</v>
      </c>
      <c r="B80" s="7" t="str">
        <f>"233920200419183948190"</f>
        <v>233920200419183948190</v>
      </c>
      <c r="C80" s="6" t="str">
        <f>"李昌虎"</f>
        <v>李昌虎</v>
      </c>
      <c r="D80" s="6" t="str">
        <f>"男"</f>
        <v>男</v>
      </c>
      <c r="E80" s="6" t="str">
        <f>"1996-03-24"</f>
        <v>1996-03-24</v>
      </c>
      <c r="F80" s="6" t="str">
        <f t="shared" si="42"/>
        <v>汉族</v>
      </c>
      <c r="G80" s="6" t="str">
        <f t="shared" si="39"/>
        <v>全日制本科</v>
      </c>
      <c r="H80" s="6" t="str">
        <f t="shared" si="40"/>
        <v>学士</v>
      </c>
      <c r="I80" s="8"/>
    </row>
    <row r="81" s="1" customFormat="1" ht="25" customHeight="1" spans="1:9">
      <c r="A81" s="6">
        <v>79</v>
      </c>
      <c r="B81" s="7" t="str">
        <f>"233920200420110307192"</f>
        <v>233920200420110307192</v>
      </c>
      <c r="C81" s="6" t="str">
        <f>"钟家乐"</f>
        <v>钟家乐</v>
      </c>
      <c r="D81" s="6" t="str">
        <f t="shared" ref="D81:D87" si="43">"女"</f>
        <v>女</v>
      </c>
      <c r="E81" s="6" t="str">
        <f>"1996-12-21"</f>
        <v>1996-12-21</v>
      </c>
      <c r="F81" s="6" t="str">
        <f t="shared" si="42"/>
        <v>汉族</v>
      </c>
      <c r="G81" s="6" t="str">
        <f t="shared" si="39"/>
        <v>全日制本科</v>
      </c>
      <c r="H81" s="6" t="str">
        <f t="shared" si="40"/>
        <v>学士</v>
      </c>
      <c r="I81" s="8"/>
    </row>
    <row r="82" s="1" customFormat="1" ht="25" customHeight="1" spans="1:9">
      <c r="A82" s="6">
        <v>80</v>
      </c>
      <c r="B82" s="7" t="str">
        <f>"233920200420215737194"</f>
        <v>233920200420215737194</v>
      </c>
      <c r="C82" s="6" t="str">
        <f>"叶仁芬"</f>
        <v>叶仁芬</v>
      </c>
      <c r="D82" s="6" t="str">
        <f t="shared" si="43"/>
        <v>女</v>
      </c>
      <c r="E82" s="6" t="str">
        <f>"1996-03-04"</f>
        <v>1996-03-04</v>
      </c>
      <c r="F82" s="6" t="str">
        <f t="shared" si="42"/>
        <v>汉族</v>
      </c>
      <c r="G82" s="6" t="str">
        <f t="shared" si="39"/>
        <v>全日制本科</v>
      </c>
      <c r="H82" s="6" t="str">
        <f t="shared" si="40"/>
        <v>学士</v>
      </c>
      <c r="I82" s="8"/>
    </row>
    <row r="83" s="1" customFormat="1" ht="25" customHeight="1" spans="1:9">
      <c r="A83" s="6">
        <v>81</v>
      </c>
      <c r="B83" s="7" t="str">
        <f>"233920200421094030195"</f>
        <v>233920200421094030195</v>
      </c>
      <c r="C83" s="6" t="str">
        <f>"符玉珠"</f>
        <v>符玉珠</v>
      </c>
      <c r="D83" s="6" t="str">
        <f t="shared" si="43"/>
        <v>女</v>
      </c>
      <c r="E83" s="6" t="str">
        <f>"1997-01-11"</f>
        <v>1997-01-11</v>
      </c>
      <c r="F83" s="6" t="str">
        <f>"黎族"</f>
        <v>黎族</v>
      </c>
      <c r="G83" s="6" t="str">
        <f t="shared" si="39"/>
        <v>全日制本科</v>
      </c>
      <c r="H83" s="6" t="str">
        <f t="shared" si="40"/>
        <v>学士</v>
      </c>
      <c r="I83" s="8"/>
    </row>
    <row r="84" s="1" customFormat="1" ht="25" customHeight="1" spans="1:9">
      <c r="A84" s="6">
        <v>82</v>
      </c>
      <c r="B84" s="7" t="str">
        <f>"233920200421112005198"</f>
        <v>233920200421112005198</v>
      </c>
      <c r="C84" s="6" t="str">
        <f>"金鑫"</f>
        <v>金鑫</v>
      </c>
      <c r="D84" s="6" t="str">
        <f t="shared" si="43"/>
        <v>女</v>
      </c>
      <c r="E84" s="6" t="str">
        <f>"1992-10-11"</f>
        <v>1992-10-11</v>
      </c>
      <c r="F84" s="6" t="str">
        <f t="shared" si="42"/>
        <v>汉族</v>
      </c>
      <c r="G84" s="6" t="str">
        <f t="shared" ref="G84:G89" si="44">"研究生"</f>
        <v>研究生</v>
      </c>
      <c r="H84" s="6" t="str">
        <f t="shared" ref="H84:H89" si="45">"硕士"</f>
        <v>硕士</v>
      </c>
      <c r="I84" s="8"/>
    </row>
    <row r="85" s="1" customFormat="1" ht="25" customHeight="1" spans="1:9">
      <c r="A85" s="6">
        <v>83</v>
      </c>
      <c r="B85" s="7" t="str">
        <f>"233920200421174433199"</f>
        <v>233920200421174433199</v>
      </c>
      <c r="C85" s="6" t="str">
        <f>"钱堃"</f>
        <v>钱堃</v>
      </c>
      <c r="D85" s="6" t="str">
        <f t="shared" si="43"/>
        <v>女</v>
      </c>
      <c r="E85" s="6" t="str">
        <f>"1995-02-06"</f>
        <v>1995-02-06</v>
      </c>
      <c r="F85" s="6" t="s">
        <v>10</v>
      </c>
      <c r="G85" s="6" t="str">
        <f t="shared" si="44"/>
        <v>研究生</v>
      </c>
      <c r="H85" s="6" t="str">
        <f t="shared" si="45"/>
        <v>硕士</v>
      </c>
      <c r="I85" s="8"/>
    </row>
    <row r="86" s="1" customFormat="1" ht="25" customHeight="1" spans="1:9">
      <c r="A86" s="6">
        <v>84</v>
      </c>
      <c r="B86" s="7" t="str">
        <f>"233920200422102401200"</f>
        <v>233920200422102401200</v>
      </c>
      <c r="C86" s="6" t="str">
        <f>"田芳霞"</f>
        <v>田芳霞</v>
      </c>
      <c r="D86" s="6" t="str">
        <f t="shared" si="43"/>
        <v>女</v>
      </c>
      <c r="E86" s="6" t="str">
        <f>"1989-10-07"</f>
        <v>1989-10-07</v>
      </c>
      <c r="F86" s="6" t="str">
        <f>"土家族"</f>
        <v>土家族</v>
      </c>
      <c r="G86" s="6" t="str">
        <f t="shared" ref="G86:G88" si="46">"全日制本科"</f>
        <v>全日制本科</v>
      </c>
      <c r="H86" s="6" t="str">
        <f t="shared" ref="H86:H88" si="47">"学士"</f>
        <v>学士</v>
      </c>
      <c r="I86" s="8"/>
    </row>
    <row r="87" s="1" customFormat="1" ht="25" customHeight="1" spans="1:9">
      <c r="A87" s="6">
        <v>85</v>
      </c>
      <c r="B87" s="7" t="str">
        <f>"233920200422170142201"</f>
        <v>233920200422170142201</v>
      </c>
      <c r="C87" s="6" t="str">
        <f>"王康清"</f>
        <v>王康清</v>
      </c>
      <c r="D87" s="6" t="str">
        <f t="shared" si="43"/>
        <v>女</v>
      </c>
      <c r="E87" s="6" t="str">
        <f>"1989-10-18"</f>
        <v>1989-10-18</v>
      </c>
      <c r="F87" s="6" t="s">
        <v>10</v>
      </c>
      <c r="G87" s="6" t="str">
        <f t="shared" si="46"/>
        <v>全日制本科</v>
      </c>
      <c r="H87" s="6" t="str">
        <f t="shared" si="47"/>
        <v>学士</v>
      </c>
      <c r="I87" s="8"/>
    </row>
    <row r="88" s="1" customFormat="1" ht="25" customHeight="1" spans="1:9">
      <c r="A88" s="6">
        <v>86</v>
      </c>
      <c r="B88" s="7" t="str">
        <f>"233920200423112114204"</f>
        <v>233920200423112114204</v>
      </c>
      <c r="C88" s="6" t="str">
        <f>"王继强"</f>
        <v>王继强</v>
      </c>
      <c r="D88" s="6" t="str">
        <f t="shared" ref="D88:D94" si="48">"男"</f>
        <v>男</v>
      </c>
      <c r="E88" s="6" t="str">
        <f>"1995-03-15"</f>
        <v>1995-03-15</v>
      </c>
      <c r="F88" s="6" t="str">
        <f t="shared" ref="F88:F93" si="49">"汉族"</f>
        <v>汉族</v>
      </c>
      <c r="G88" s="6" t="str">
        <f t="shared" si="46"/>
        <v>全日制本科</v>
      </c>
      <c r="H88" s="6" t="str">
        <f t="shared" si="47"/>
        <v>学士</v>
      </c>
      <c r="I88" s="8"/>
    </row>
    <row r="89" s="1" customFormat="1" ht="25" customHeight="1" spans="1:9">
      <c r="A89" s="6">
        <v>87</v>
      </c>
      <c r="B89" s="7" t="str">
        <f>"233920200424103757206"</f>
        <v>233920200424103757206</v>
      </c>
      <c r="C89" s="6" t="str">
        <f>"肖俊"</f>
        <v>肖俊</v>
      </c>
      <c r="D89" s="6" t="str">
        <f>"女"</f>
        <v>女</v>
      </c>
      <c r="E89" s="6" t="str">
        <f>"1988-10-19"</f>
        <v>1988-10-19</v>
      </c>
      <c r="F89" s="6" t="str">
        <f t="shared" si="49"/>
        <v>汉族</v>
      </c>
      <c r="G89" s="6" t="str">
        <f t="shared" si="44"/>
        <v>研究生</v>
      </c>
      <c r="H89" s="6" t="str">
        <f t="shared" si="45"/>
        <v>硕士</v>
      </c>
      <c r="I89" s="8"/>
    </row>
    <row r="90" s="1" customFormat="1" ht="25" customHeight="1" spans="1:9">
      <c r="A90" s="6">
        <v>88</v>
      </c>
      <c r="B90" s="7" t="str">
        <f>"233920200424162154208"</f>
        <v>233920200424162154208</v>
      </c>
      <c r="C90" s="6" t="str">
        <f>"徐粲"</f>
        <v>徐粲</v>
      </c>
      <c r="D90" s="6" t="str">
        <f t="shared" si="48"/>
        <v>男</v>
      </c>
      <c r="E90" s="6" t="str">
        <f>"1997-01-12"</f>
        <v>1997-01-12</v>
      </c>
      <c r="F90" s="6" t="str">
        <f t="shared" si="49"/>
        <v>汉族</v>
      </c>
      <c r="G90" s="6" t="str">
        <f t="shared" ref="G90:G92" si="50">"全日制本科"</f>
        <v>全日制本科</v>
      </c>
      <c r="H90" s="6" t="str">
        <f t="shared" ref="H90:H92" si="51">"学士"</f>
        <v>学士</v>
      </c>
      <c r="I90" s="8"/>
    </row>
    <row r="91" s="1" customFormat="1" ht="25" customHeight="1" spans="1:9">
      <c r="A91" s="6">
        <v>89</v>
      </c>
      <c r="B91" s="7" t="str">
        <f>"233920200424212851214"</f>
        <v>233920200424212851214</v>
      </c>
      <c r="C91" s="6" t="str">
        <f>"周弘聃"</f>
        <v>周弘聃</v>
      </c>
      <c r="D91" s="6" t="str">
        <f>"女"</f>
        <v>女</v>
      </c>
      <c r="E91" s="6" t="str">
        <f>"1997-04-02"</f>
        <v>1997-04-02</v>
      </c>
      <c r="F91" s="6" t="str">
        <f t="shared" si="49"/>
        <v>汉族</v>
      </c>
      <c r="G91" s="6" t="str">
        <f t="shared" si="50"/>
        <v>全日制本科</v>
      </c>
      <c r="H91" s="6" t="str">
        <f t="shared" si="51"/>
        <v>学士</v>
      </c>
      <c r="I91" s="8"/>
    </row>
    <row r="92" s="1" customFormat="1" ht="25" customHeight="1" spans="1:9">
      <c r="A92" s="6">
        <v>90</v>
      </c>
      <c r="B92" s="7" t="str">
        <f>"233920200424214745217"</f>
        <v>233920200424214745217</v>
      </c>
      <c r="C92" s="6" t="str">
        <f>"黎贤人"</f>
        <v>黎贤人</v>
      </c>
      <c r="D92" s="6" t="str">
        <f t="shared" si="48"/>
        <v>男</v>
      </c>
      <c r="E92" s="6" t="str">
        <f>"1996-02-04"</f>
        <v>1996-02-04</v>
      </c>
      <c r="F92" s="6" t="str">
        <f t="shared" si="49"/>
        <v>汉族</v>
      </c>
      <c r="G92" s="6" t="str">
        <f t="shared" si="50"/>
        <v>全日制本科</v>
      </c>
      <c r="H92" s="6" t="str">
        <f t="shared" si="51"/>
        <v>学士</v>
      </c>
      <c r="I92" s="8"/>
    </row>
    <row r="93" s="1" customFormat="1" ht="25" customHeight="1" spans="1:9">
      <c r="A93" s="6">
        <v>91</v>
      </c>
      <c r="B93" s="7" t="str">
        <f>"233920200424215822218"</f>
        <v>233920200424215822218</v>
      </c>
      <c r="C93" s="6" t="str">
        <f>"黎琼矛"</f>
        <v>黎琼矛</v>
      </c>
      <c r="D93" s="6" t="str">
        <f t="shared" si="48"/>
        <v>男</v>
      </c>
      <c r="E93" s="6" t="str">
        <f>"1996-01-08"</f>
        <v>1996-01-08</v>
      </c>
      <c r="F93" s="6" t="str">
        <f t="shared" si="49"/>
        <v>汉族</v>
      </c>
      <c r="G93" s="6" t="str">
        <f t="shared" ref="G93:G97" si="52">"研究生"</f>
        <v>研究生</v>
      </c>
      <c r="H93" s="6" t="str">
        <f t="shared" ref="H93:H97" si="53">"硕士"</f>
        <v>硕士</v>
      </c>
      <c r="I93" s="8"/>
    </row>
    <row r="94" s="1" customFormat="1" ht="25" customHeight="1" spans="1:9">
      <c r="A94" s="6">
        <v>92</v>
      </c>
      <c r="B94" s="7" t="str">
        <f>"233920200425095745221"</f>
        <v>233920200425095745221</v>
      </c>
      <c r="C94" s="6" t="str">
        <f>"朱钧史"</f>
        <v>朱钧史</v>
      </c>
      <c r="D94" s="6" t="str">
        <f t="shared" si="48"/>
        <v>男</v>
      </c>
      <c r="E94" s="6" t="str">
        <f>"1997-07-20"</f>
        <v>1997-07-20</v>
      </c>
      <c r="F94" s="6" t="str">
        <f t="shared" ref="F94:F99" si="54">"汉族"</f>
        <v>汉族</v>
      </c>
      <c r="G94" s="6" t="str">
        <f t="shared" ref="G94:G99" si="55">"全日制本科"</f>
        <v>全日制本科</v>
      </c>
      <c r="H94" s="6" t="str">
        <f t="shared" ref="H94:H99" si="56">"学士"</f>
        <v>学士</v>
      </c>
      <c r="I94" s="8"/>
    </row>
    <row r="95" s="1" customFormat="1" ht="25" customHeight="1" spans="1:9">
      <c r="A95" s="6">
        <v>93</v>
      </c>
      <c r="B95" s="7" t="str">
        <f>"233920200425104911224"</f>
        <v>233920200425104911224</v>
      </c>
      <c r="C95" s="6" t="str">
        <f>"李吉平"</f>
        <v>李吉平</v>
      </c>
      <c r="D95" s="6" t="str">
        <f t="shared" ref="D95:D106" si="57">"女"</f>
        <v>女</v>
      </c>
      <c r="E95" s="6" t="str">
        <f>"1995-07-26"</f>
        <v>1995-07-26</v>
      </c>
      <c r="F95" s="6" t="str">
        <f t="shared" si="54"/>
        <v>汉族</v>
      </c>
      <c r="G95" s="6" t="str">
        <f t="shared" si="52"/>
        <v>研究生</v>
      </c>
      <c r="H95" s="6" t="str">
        <f t="shared" si="53"/>
        <v>硕士</v>
      </c>
      <c r="I95" s="8"/>
    </row>
    <row r="96" s="1" customFormat="1" ht="25" customHeight="1" spans="1:9">
      <c r="A96" s="6">
        <v>94</v>
      </c>
      <c r="B96" s="7" t="str">
        <f>"233920200425162807228"</f>
        <v>233920200425162807228</v>
      </c>
      <c r="C96" s="6" t="str">
        <f>"张开一"</f>
        <v>张开一</v>
      </c>
      <c r="D96" s="6" t="str">
        <f>"男"</f>
        <v>男</v>
      </c>
      <c r="E96" s="6" t="str">
        <f>"1995-02-06"</f>
        <v>1995-02-06</v>
      </c>
      <c r="F96" s="6" t="str">
        <f t="shared" si="54"/>
        <v>汉族</v>
      </c>
      <c r="G96" s="6" t="str">
        <f t="shared" si="55"/>
        <v>全日制本科</v>
      </c>
      <c r="H96" s="6" t="str">
        <f t="shared" si="56"/>
        <v>学士</v>
      </c>
      <c r="I96" s="8"/>
    </row>
    <row r="97" s="1" customFormat="1" ht="25" customHeight="1" spans="1:9">
      <c r="A97" s="6">
        <v>95</v>
      </c>
      <c r="B97" s="7" t="str">
        <f>"233920200425173904230"</f>
        <v>233920200425173904230</v>
      </c>
      <c r="C97" s="6" t="str">
        <f>"罗宇涵"</f>
        <v>罗宇涵</v>
      </c>
      <c r="D97" s="6" t="str">
        <f t="shared" si="57"/>
        <v>女</v>
      </c>
      <c r="E97" s="6" t="str">
        <f>"1995-12-02"</f>
        <v>1995-12-02</v>
      </c>
      <c r="F97" s="6" t="str">
        <f t="shared" si="54"/>
        <v>汉族</v>
      </c>
      <c r="G97" s="6" t="str">
        <f t="shared" si="52"/>
        <v>研究生</v>
      </c>
      <c r="H97" s="6" t="str">
        <f t="shared" si="53"/>
        <v>硕士</v>
      </c>
      <c r="I97" s="8"/>
    </row>
    <row r="98" s="1" customFormat="1" ht="25" customHeight="1" spans="1:9">
      <c r="A98" s="6">
        <v>96</v>
      </c>
      <c r="B98" s="7" t="str">
        <f>"233920200425204422231"</f>
        <v>233920200425204422231</v>
      </c>
      <c r="C98" s="6" t="str">
        <f>"秦涛"</f>
        <v>秦涛</v>
      </c>
      <c r="D98" s="6" t="str">
        <f>"男"</f>
        <v>男</v>
      </c>
      <c r="E98" s="6" t="str">
        <f>"1994-01-24"</f>
        <v>1994-01-24</v>
      </c>
      <c r="F98" s="6" t="str">
        <f t="shared" si="54"/>
        <v>汉族</v>
      </c>
      <c r="G98" s="6" t="str">
        <f t="shared" si="55"/>
        <v>全日制本科</v>
      </c>
      <c r="H98" s="6" t="str">
        <f t="shared" si="56"/>
        <v>学士</v>
      </c>
      <c r="I98" s="8"/>
    </row>
    <row r="99" s="1" customFormat="1" ht="25" customHeight="1" spans="1:9">
      <c r="A99" s="6">
        <v>97</v>
      </c>
      <c r="B99" s="7" t="str">
        <f>"233920200426090746234"</f>
        <v>233920200426090746234</v>
      </c>
      <c r="C99" s="6" t="str">
        <f>"邢诗茹"</f>
        <v>邢诗茹</v>
      </c>
      <c r="D99" s="6" t="str">
        <f t="shared" si="57"/>
        <v>女</v>
      </c>
      <c r="E99" s="6" t="str">
        <f>"1996-07-06"</f>
        <v>1996-07-06</v>
      </c>
      <c r="F99" s="6" t="str">
        <f t="shared" si="54"/>
        <v>汉族</v>
      </c>
      <c r="G99" s="6" t="str">
        <f t="shared" si="55"/>
        <v>全日制本科</v>
      </c>
      <c r="H99" s="6" t="str">
        <f t="shared" si="56"/>
        <v>学士</v>
      </c>
      <c r="I99" s="8"/>
    </row>
    <row r="100" s="1" customFormat="1" ht="25" customHeight="1" spans="1:9">
      <c r="A100" s="6">
        <v>98</v>
      </c>
      <c r="B100" s="7" t="str">
        <f>"233920200426100608236"</f>
        <v>233920200426100608236</v>
      </c>
      <c r="C100" s="6" t="str">
        <f>"董莉莉"</f>
        <v>董莉莉</v>
      </c>
      <c r="D100" s="6" t="str">
        <f t="shared" si="57"/>
        <v>女</v>
      </c>
      <c r="E100" s="6" t="str">
        <f>"1994-09-02"</f>
        <v>1994-09-02</v>
      </c>
      <c r="F100" s="6" t="str">
        <f t="shared" ref="F100:F107" si="58">"汉族"</f>
        <v>汉族</v>
      </c>
      <c r="G100" s="6" t="str">
        <f t="shared" ref="G100:G104" si="59">"研究生"</f>
        <v>研究生</v>
      </c>
      <c r="H100" s="6" t="str">
        <f t="shared" ref="H100:H104" si="60">"硕士"</f>
        <v>硕士</v>
      </c>
      <c r="I100" s="8"/>
    </row>
    <row r="101" s="1" customFormat="1" ht="25" customHeight="1" spans="1:9">
      <c r="A101" s="6">
        <v>99</v>
      </c>
      <c r="B101" s="7" t="str">
        <f>"233920200426120129239"</f>
        <v>233920200426120129239</v>
      </c>
      <c r="C101" s="6" t="str">
        <f>"徐楠楠"</f>
        <v>徐楠楠</v>
      </c>
      <c r="D101" s="6" t="str">
        <f t="shared" si="57"/>
        <v>女</v>
      </c>
      <c r="E101" s="6" t="str">
        <f>"1997-05-01"</f>
        <v>1997-05-01</v>
      </c>
      <c r="F101" s="6" t="str">
        <f t="shared" si="58"/>
        <v>汉族</v>
      </c>
      <c r="G101" s="6" t="str">
        <f t="shared" ref="G101:G106" si="61">"全日制本科"</f>
        <v>全日制本科</v>
      </c>
      <c r="H101" s="6" t="str">
        <f t="shared" ref="H101:H106" si="62">"学士"</f>
        <v>学士</v>
      </c>
      <c r="I101" s="8"/>
    </row>
    <row r="102" s="1" customFormat="1" ht="25" customHeight="1" spans="1:9">
      <c r="A102" s="6">
        <v>100</v>
      </c>
      <c r="B102" s="7" t="str">
        <f>"233920200426124356240"</f>
        <v>233920200426124356240</v>
      </c>
      <c r="C102" s="6" t="str">
        <f>"窦萌萌"</f>
        <v>窦萌萌</v>
      </c>
      <c r="D102" s="6" t="str">
        <f t="shared" si="57"/>
        <v>女</v>
      </c>
      <c r="E102" s="6" t="str">
        <f>"1990-03-25"</f>
        <v>1990-03-25</v>
      </c>
      <c r="F102" s="6" t="str">
        <f t="shared" si="58"/>
        <v>汉族</v>
      </c>
      <c r="G102" s="6" t="str">
        <f t="shared" si="59"/>
        <v>研究生</v>
      </c>
      <c r="H102" s="6" t="str">
        <f t="shared" si="60"/>
        <v>硕士</v>
      </c>
      <c r="I102" s="8"/>
    </row>
    <row r="103" s="1" customFormat="1" ht="25" customHeight="1" spans="1:9">
      <c r="A103" s="6">
        <v>101</v>
      </c>
      <c r="B103" s="7" t="str">
        <f>"233920200426160315241"</f>
        <v>233920200426160315241</v>
      </c>
      <c r="C103" s="6" t="str">
        <f>"梁湘菲"</f>
        <v>梁湘菲</v>
      </c>
      <c r="D103" s="6" t="str">
        <f t="shared" si="57"/>
        <v>女</v>
      </c>
      <c r="E103" s="6" t="str">
        <f>"1994-12-22"</f>
        <v>1994-12-22</v>
      </c>
      <c r="F103" s="6" t="str">
        <f t="shared" si="58"/>
        <v>汉族</v>
      </c>
      <c r="G103" s="6" t="str">
        <f t="shared" si="61"/>
        <v>全日制本科</v>
      </c>
      <c r="H103" s="6" t="str">
        <f t="shared" si="62"/>
        <v>学士</v>
      </c>
      <c r="I103" s="8"/>
    </row>
    <row r="104" s="1" customFormat="1" ht="25" customHeight="1" spans="1:9">
      <c r="A104" s="6">
        <v>102</v>
      </c>
      <c r="B104" s="7" t="str">
        <f>"233920200426232302244"</f>
        <v>233920200426232302244</v>
      </c>
      <c r="C104" s="6" t="str">
        <f>"王晨雨"</f>
        <v>王晨雨</v>
      </c>
      <c r="D104" s="6" t="str">
        <f t="shared" si="57"/>
        <v>女</v>
      </c>
      <c r="E104" s="6" t="str">
        <f>"1993-11-06"</f>
        <v>1993-11-06</v>
      </c>
      <c r="F104" s="6" t="str">
        <f t="shared" si="58"/>
        <v>汉族</v>
      </c>
      <c r="G104" s="6" t="str">
        <f t="shared" si="59"/>
        <v>研究生</v>
      </c>
      <c r="H104" s="6" t="str">
        <f t="shared" si="60"/>
        <v>硕士</v>
      </c>
      <c r="I104" s="8"/>
    </row>
    <row r="105" s="1" customFormat="1" ht="25" customHeight="1" spans="1:9">
      <c r="A105" s="6">
        <v>103</v>
      </c>
      <c r="B105" s="7" t="str">
        <f>"233920200426232342245"</f>
        <v>233920200426232342245</v>
      </c>
      <c r="C105" s="6" t="str">
        <f>"洪小玉"</f>
        <v>洪小玉</v>
      </c>
      <c r="D105" s="6" t="str">
        <f t="shared" si="57"/>
        <v>女</v>
      </c>
      <c r="E105" s="6" t="str">
        <f>"1989-02-12"</f>
        <v>1989-02-12</v>
      </c>
      <c r="F105" s="6" t="str">
        <f t="shared" si="58"/>
        <v>汉族</v>
      </c>
      <c r="G105" s="6" t="str">
        <f t="shared" si="61"/>
        <v>全日制本科</v>
      </c>
      <c r="H105" s="6" t="str">
        <f t="shared" si="62"/>
        <v>学士</v>
      </c>
      <c r="I105" s="8"/>
    </row>
    <row r="106" s="1" customFormat="1" ht="25" customHeight="1" spans="1:9">
      <c r="A106" s="6">
        <v>104</v>
      </c>
      <c r="B106" s="7" t="str">
        <f>"233920200427102223248"</f>
        <v>233920200427102223248</v>
      </c>
      <c r="C106" s="6" t="str">
        <f>"陈积姑"</f>
        <v>陈积姑</v>
      </c>
      <c r="D106" s="6" t="str">
        <f t="shared" si="57"/>
        <v>女</v>
      </c>
      <c r="E106" s="6" t="str">
        <f>"1996-05-01"</f>
        <v>1996-05-01</v>
      </c>
      <c r="F106" s="6" t="str">
        <f t="shared" si="58"/>
        <v>汉族</v>
      </c>
      <c r="G106" s="6" t="str">
        <f t="shared" si="61"/>
        <v>全日制本科</v>
      </c>
      <c r="H106" s="6" t="str">
        <f t="shared" si="62"/>
        <v>学士</v>
      </c>
      <c r="I106" s="8"/>
    </row>
    <row r="107" s="1" customFormat="1" ht="25" customHeight="1" spans="1:9">
      <c r="A107" s="6">
        <v>105</v>
      </c>
      <c r="B107" s="7" t="str">
        <f>"233920200427105459249"</f>
        <v>233920200427105459249</v>
      </c>
      <c r="C107" s="6" t="str">
        <f>"徐宏哲"</f>
        <v>徐宏哲</v>
      </c>
      <c r="D107" s="6" t="str">
        <f t="shared" ref="D107:D110" si="63">"男"</f>
        <v>男</v>
      </c>
      <c r="E107" s="6" t="str">
        <f>"1992-09-26"</f>
        <v>1992-09-26</v>
      </c>
      <c r="F107" s="6" t="str">
        <f t="shared" si="58"/>
        <v>汉族</v>
      </c>
      <c r="G107" s="6" t="str">
        <f t="shared" ref="G107:G109" si="64">"研究生"</f>
        <v>研究生</v>
      </c>
      <c r="H107" s="6" t="str">
        <f t="shared" ref="H107:H109" si="65">"硕士"</f>
        <v>硕士</v>
      </c>
      <c r="I107" s="8"/>
    </row>
    <row r="108" s="1" customFormat="1" ht="25" customHeight="1" spans="1:9">
      <c r="A108" s="6">
        <v>106</v>
      </c>
      <c r="B108" s="7" t="str">
        <f>"233920200427132118250"</f>
        <v>233920200427132118250</v>
      </c>
      <c r="C108" s="6" t="str">
        <f>"满好"</f>
        <v>满好</v>
      </c>
      <c r="D108" s="6" t="str">
        <f t="shared" si="63"/>
        <v>男</v>
      </c>
      <c r="E108" s="6" t="str">
        <f>"1985-08-01"</f>
        <v>1985-08-01</v>
      </c>
      <c r="F108" s="6" t="str">
        <f>"回族"</f>
        <v>回族</v>
      </c>
      <c r="G108" s="6" t="str">
        <f t="shared" si="64"/>
        <v>研究生</v>
      </c>
      <c r="H108" s="6" t="str">
        <f t="shared" si="65"/>
        <v>硕士</v>
      </c>
      <c r="I108" s="8"/>
    </row>
    <row r="109" s="1" customFormat="1" ht="25" customHeight="1" spans="1:9">
      <c r="A109" s="6">
        <v>107</v>
      </c>
      <c r="B109" s="7" t="str">
        <f>"233920200427153453251"</f>
        <v>233920200427153453251</v>
      </c>
      <c r="C109" s="6" t="str">
        <f>"黄河清"</f>
        <v>黄河清</v>
      </c>
      <c r="D109" s="6" t="str">
        <f t="shared" ref="D109:D112" si="66">"女"</f>
        <v>女</v>
      </c>
      <c r="E109" s="6" t="str">
        <f>"1991-09-15"</f>
        <v>1991-09-15</v>
      </c>
      <c r="F109" s="6" t="str">
        <f t="shared" ref="F109:F115" si="67">"汉族"</f>
        <v>汉族</v>
      </c>
      <c r="G109" s="6" t="str">
        <f t="shared" si="64"/>
        <v>研究生</v>
      </c>
      <c r="H109" s="6" t="str">
        <f t="shared" si="65"/>
        <v>硕士</v>
      </c>
      <c r="I109" s="8"/>
    </row>
    <row r="110" s="1" customFormat="1" ht="25" customHeight="1" spans="1:9">
      <c r="A110" s="6">
        <v>108</v>
      </c>
      <c r="B110" s="7" t="str">
        <f>"233920200427161709253"</f>
        <v>233920200427161709253</v>
      </c>
      <c r="C110" s="6" t="str">
        <f>"陈龙发"</f>
        <v>陈龙发</v>
      </c>
      <c r="D110" s="6" t="str">
        <f t="shared" si="63"/>
        <v>男</v>
      </c>
      <c r="E110" s="6" t="str">
        <f>"1997-11-11"</f>
        <v>1997-11-11</v>
      </c>
      <c r="F110" s="6" t="str">
        <f>"黎族"</f>
        <v>黎族</v>
      </c>
      <c r="G110" s="6" t="str">
        <f t="shared" ref="G110:G116" si="68">"全日制本科"</f>
        <v>全日制本科</v>
      </c>
      <c r="H110" s="6" t="str">
        <f t="shared" ref="H110:H116" si="69">"学士"</f>
        <v>学士</v>
      </c>
      <c r="I110" s="8"/>
    </row>
    <row r="111" s="1" customFormat="1" ht="25" customHeight="1" spans="1:9">
      <c r="A111" s="6">
        <v>109</v>
      </c>
      <c r="B111" s="7" t="str">
        <f>"233920200427174842257"</f>
        <v>233920200427174842257</v>
      </c>
      <c r="C111" s="6" t="str">
        <f>"林璋慧"</f>
        <v>林璋慧</v>
      </c>
      <c r="D111" s="6" t="str">
        <f t="shared" si="66"/>
        <v>女</v>
      </c>
      <c r="E111" s="6" t="str">
        <f>"1991-06-18"</f>
        <v>1991-06-18</v>
      </c>
      <c r="F111" s="6" t="str">
        <f t="shared" si="67"/>
        <v>汉族</v>
      </c>
      <c r="G111" s="6" t="str">
        <f t="shared" si="68"/>
        <v>全日制本科</v>
      </c>
      <c r="H111" s="6" t="str">
        <f t="shared" si="69"/>
        <v>学士</v>
      </c>
      <c r="I111" s="8"/>
    </row>
    <row r="112" s="1" customFormat="1" ht="25" customHeight="1" spans="1:9">
      <c r="A112" s="6">
        <v>110</v>
      </c>
      <c r="B112" s="7" t="str">
        <f>"233920200427181158258"</f>
        <v>233920200427181158258</v>
      </c>
      <c r="C112" s="6" t="str">
        <f>"谢晶霞"</f>
        <v>谢晶霞</v>
      </c>
      <c r="D112" s="6" t="str">
        <f t="shared" si="66"/>
        <v>女</v>
      </c>
      <c r="E112" s="6" t="str">
        <f>"1996-03-02"</f>
        <v>1996-03-02</v>
      </c>
      <c r="F112" s="6" t="str">
        <f t="shared" si="67"/>
        <v>汉族</v>
      </c>
      <c r="G112" s="6" t="str">
        <f t="shared" si="68"/>
        <v>全日制本科</v>
      </c>
      <c r="H112" s="6" t="str">
        <f t="shared" si="69"/>
        <v>学士</v>
      </c>
      <c r="I112" s="8"/>
    </row>
    <row r="113" s="1" customFormat="1" ht="25" customHeight="1" spans="1:9">
      <c r="A113" s="6">
        <v>111</v>
      </c>
      <c r="B113" s="7" t="str">
        <f>"233920200427182149259"</f>
        <v>233920200427182149259</v>
      </c>
      <c r="C113" s="6" t="str">
        <f>"马浩源"</f>
        <v>马浩源</v>
      </c>
      <c r="D113" s="6" t="str">
        <f t="shared" ref="D113:D117" si="70">"男"</f>
        <v>男</v>
      </c>
      <c r="E113" s="6" t="str">
        <f>"1995-06-05"</f>
        <v>1995-06-05</v>
      </c>
      <c r="F113" s="6" t="s">
        <v>11</v>
      </c>
      <c r="G113" s="6" t="str">
        <f t="shared" si="68"/>
        <v>全日制本科</v>
      </c>
      <c r="H113" s="6" t="str">
        <f t="shared" si="69"/>
        <v>学士</v>
      </c>
      <c r="I113" s="8"/>
    </row>
    <row r="114" s="1" customFormat="1" ht="25" customHeight="1" spans="1:9">
      <c r="A114" s="6">
        <v>112</v>
      </c>
      <c r="B114" s="7" t="str">
        <f>"233920200427192250260"</f>
        <v>233920200427192250260</v>
      </c>
      <c r="C114" s="6" t="str">
        <f>"林茂"</f>
        <v>林茂</v>
      </c>
      <c r="D114" s="6" t="str">
        <f t="shared" si="70"/>
        <v>男</v>
      </c>
      <c r="E114" s="6" t="str">
        <f>"1997-08-08"</f>
        <v>1997-08-08</v>
      </c>
      <c r="F114" s="6" t="str">
        <f t="shared" si="67"/>
        <v>汉族</v>
      </c>
      <c r="G114" s="6" t="str">
        <f t="shared" si="68"/>
        <v>全日制本科</v>
      </c>
      <c r="H114" s="6" t="str">
        <f t="shared" si="69"/>
        <v>学士</v>
      </c>
      <c r="I114" s="8"/>
    </row>
    <row r="115" s="1" customFormat="1" ht="25" customHeight="1" spans="1:9">
      <c r="A115" s="6">
        <v>113</v>
      </c>
      <c r="B115" s="7" t="str">
        <f>"233920200427222918262"</f>
        <v>233920200427222918262</v>
      </c>
      <c r="C115" s="6" t="str">
        <f>"黄小惠"</f>
        <v>黄小惠</v>
      </c>
      <c r="D115" s="6" t="str">
        <f t="shared" ref="D115:D119" si="71">"女"</f>
        <v>女</v>
      </c>
      <c r="E115" s="6" t="str">
        <f>"1997-05-28"</f>
        <v>1997-05-28</v>
      </c>
      <c r="F115" s="6" t="str">
        <f t="shared" si="67"/>
        <v>汉族</v>
      </c>
      <c r="G115" s="6" t="str">
        <f t="shared" si="68"/>
        <v>全日制本科</v>
      </c>
      <c r="H115" s="6" t="str">
        <f t="shared" si="69"/>
        <v>学士</v>
      </c>
      <c r="I115" s="8"/>
    </row>
    <row r="116" s="1" customFormat="1" ht="25" customHeight="1" spans="1:9">
      <c r="A116" s="6">
        <v>114</v>
      </c>
      <c r="B116" s="7" t="str">
        <f>"233920200428172222265"</f>
        <v>233920200428172222265</v>
      </c>
      <c r="C116" s="6" t="str">
        <f>"刘文"</f>
        <v>刘文</v>
      </c>
      <c r="D116" s="6" t="str">
        <f t="shared" si="71"/>
        <v>女</v>
      </c>
      <c r="E116" s="6" t="str">
        <f>"1995-04-09"</f>
        <v>1995-04-09</v>
      </c>
      <c r="F116" s="6" t="str">
        <f t="shared" ref="F116:F122" si="72">"汉族"</f>
        <v>汉族</v>
      </c>
      <c r="G116" s="6" t="str">
        <f t="shared" si="68"/>
        <v>全日制本科</v>
      </c>
      <c r="H116" s="6" t="str">
        <f t="shared" si="69"/>
        <v>学士</v>
      </c>
      <c r="I116" s="8"/>
    </row>
    <row r="117" s="1" customFormat="1" ht="25" customHeight="1" spans="1:9">
      <c r="A117" s="6">
        <v>115</v>
      </c>
      <c r="B117" s="7" t="str">
        <f>"233920200428184911268"</f>
        <v>233920200428184911268</v>
      </c>
      <c r="C117" s="6" t="str">
        <f>"陈杨"</f>
        <v>陈杨</v>
      </c>
      <c r="D117" s="6" t="str">
        <f t="shared" si="70"/>
        <v>男</v>
      </c>
      <c r="E117" s="6" t="str">
        <f>"1994-06-05"</f>
        <v>1994-06-05</v>
      </c>
      <c r="F117" s="6" t="str">
        <f t="shared" si="72"/>
        <v>汉族</v>
      </c>
      <c r="G117" s="6" t="str">
        <f>"研究生"</f>
        <v>研究生</v>
      </c>
      <c r="H117" s="6" t="str">
        <f>"硕士"</f>
        <v>硕士</v>
      </c>
      <c r="I117" s="8"/>
    </row>
    <row r="118" s="1" customFormat="1" ht="25" customHeight="1" spans="1:9">
      <c r="A118" s="6">
        <v>116</v>
      </c>
      <c r="B118" s="7" t="str">
        <f>"233920200428192703269"</f>
        <v>233920200428192703269</v>
      </c>
      <c r="C118" s="6" t="str">
        <f>"符莉云"</f>
        <v>符莉云</v>
      </c>
      <c r="D118" s="6" t="str">
        <f t="shared" si="71"/>
        <v>女</v>
      </c>
      <c r="E118" s="6" t="str">
        <f>"1991-11-15"</f>
        <v>1991-11-15</v>
      </c>
      <c r="F118" s="6" t="str">
        <f>"黎族"</f>
        <v>黎族</v>
      </c>
      <c r="G118" s="6" t="str">
        <f t="shared" ref="G118:G124" si="73">"全日制本科"</f>
        <v>全日制本科</v>
      </c>
      <c r="H118" s="6" t="str">
        <f t="shared" ref="H118:H124" si="74">"学士"</f>
        <v>学士</v>
      </c>
      <c r="I118" s="8"/>
    </row>
    <row r="119" s="1" customFormat="1" ht="25" customHeight="1" spans="1:9">
      <c r="A119" s="6">
        <v>117</v>
      </c>
      <c r="B119" s="7" t="str">
        <f>"233920200428200636270"</f>
        <v>233920200428200636270</v>
      </c>
      <c r="C119" s="6" t="str">
        <f>"邢立杰"</f>
        <v>邢立杰</v>
      </c>
      <c r="D119" s="6" t="str">
        <f t="shared" si="71"/>
        <v>女</v>
      </c>
      <c r="E119" s="6" t="str">
        <f>"1994-05-13"</f>
        <v>1994-05-13</v>
      </c>
      <c r="F119" s="6" t="s">
        <v>10</v>
      </c>
      <c r="G119" s="6" t="str">
        <f t="shared" si="73"/>
        <v>全日制本科</v>
      </c>
      <c r="H119" s="6" t="str">
        <f t="shared" si="74"/>
        <v>学士</v>
      </c>
      <c r="I119" s="8"/>
    </row>
    <row r="120" s="1" customFormat="1" ht="25" customHeight="1" spans="1:9">
      <c r="A120" s="6">
        <v>118</v>
      </c>
      <c r="B120" s="7" t="str">
        <f>"233920200428211719272"</f>
        <v>233920200428211719272</v>
      </c>
      <c r="C120" s="6" t="str">
        <f>"符鹤岩"</f>
        <v>符鹤岩</v>
      </c>
      <c r="D120" s="6" t="str">
        <f>"男"</f>
        <v>男</v>
      </c>
      <c r="E120" s="6" t="str">
        <f>"1999-12-23"</f>
        <v>1999-12-23</v>
      </c>
      <c r="F120" s="6" t="s">
        <v>10</v>
      </c>
      <c r="G120" s="6" t="str">
        <f t="shared" si="73"/>
        <v>全日制本科</v>
      </c>
      <c r="H120" s="6" t="str">
        <f t="shared" si="74"/>
        <v>学士</v>
      </c>
      <c r="I120" s="8"/>
    </row>
    <row r="121" s="1" customFormat="1" ht="25" customHeight="1" spans="1:9">
      <c r="A121" s="6">
        <v>119</v>
      </c>
      <c r="B121" s="7" t="str">
        <f>"233920200428213302273"</f>
        <v>233920200428213302273</v>
      </c>
      <c r="C121" s="6" t="str">
        <f>"张肇菁"</f>
        <v>张肇菁</v>
      </c>
      <c r="D121" s="6" t="str">
        <f t="shared" ref="D121:D123" si="75">"女"</f>
        <v>女</v>
      </c>
      <c r="E121" s="6" t="str">
        <f>"1995-02-20"</f>
        <v>1995-02-20</v>
      </c>
      <c r="F121" s="6" t="str">
        <f t="shared" si="72"/>
        <v>汉族</v>
      </c>
      <c r="G121" s="6" t="str">
        <f t="shared" si="73"/>
        <v>全日制本科</v>
      </c>
      <c r="H121" s="6" t="str">
        <f t="shared" si="74"/>
        <v>学士</v>
      </c>
      <c r="I121" s="8"/>
    </row>
    <row r="122" s="1" customFormat="1" ht="25" customHeight="1" spans="1:9">
      <c r="A122" s="6">
        <v>120</v>
      </c>
      <c r="B122" s="7" t="str">
        <f>"233920200428222724276"</f>
        <v>233920200428222724276</v>
      </c>
      <c r="C122" s="6" t="str">
        <f>"刘哲"</f>
        <v>刘哲</v>
      </c>
      <c r="D122" s="6" t="str">
        <f t="shared" si="75"/>
        <v>女</v>
      </c>
      <c r="E122" s="6" t="str">
        <f>"1994-07-01"</f>
        <v>1994-07-01</v>
      </c>
      <c r="F122" s="6" t="str">
        <f t="shared" si="72"/>
        <v>汉族</v>
      </c>
      <c r="G122" s="6" t="str">
        <f t="shared" si="73"/>
        <v>全日制本科</v>
      </c>
      <c r="H122" s="6" t="str">
        <f t="shared" si="74"/>
        <v>学士</v>
      </c>
      <c r="I122" s="8"/>
    </row>
    <row r="123" s="1" customFormat="1" ht="25" customHeight="1" spans="1:9">
      <c r="A123" s="6">
        <v>121</v>
      </c>
      <c r="B123" s="7" t="str">
        <f>"233920200429123352280"</f>
        <v>233920200429123352280</v>
      </c>
      <c r="C123" s="6" t="str">
        <f>"邢增慧"</f>
        <v>邢增慧</v>
      </c>
      <c r="D123" s="6" t="str">
        <f t="shared" si="75"/>
        <v>女</v>
      </c>
      <c r="E123" s="6" t="str">
        <f>"1997-12-30"</f>
        <v>1997-12-30</v>
      </c>
      <c r="F123" s="6" t="str">
        <f>"黎族"</f>
        <v>黎族</v>
      </c>
      <c r="G123" s="6" t="str">
        <f t="shared" si="73"/>
        <v>全日制本科</v>
      </c>
      <c r="H123" s="6" t="str">
        <f t="shared" si="74"/>
        <v>学士</v>
      </c>
      <c r="I123" s="8"/>
    </row>
    <row r="124" s="1" customFormat="1" ht="25" customHeight="1" spans="1:9">
      <c r="A124" s="6">
        <v>122</v>
      </c>
      <c r="B124" s="7" t="str">
        <f>"233920200429124803281"</f>
        <v>233920200429124803281</v>
      </c>
      <c r="C124" s="6" t="str">
        <f>"郑天恩"</f>
        <v>郑天恩</v>
      </c>
      <c r="D124" s="6" t="str">
        <f>"男"</f>
        <v>男</v>
      </c>
      <c r="E124" s="6" t="str">
        <f>"1997-11-09"</f>
        <v>1997-11-09</v>
      </c>
      <c r="F124" s="6" t="s">
        <v>10</v>
      </c>
      <c r="G124" s="6" t="str">
        <f t="shared" si="73"/>
        <v>全日制本科</v>
      </c>
      <c r="H124" s="6" t="str">
        <f t="shared" si="74"/>
        <v>学士</v>
      </c>
      <c r="I124" s="8"/>
    </row>
    <row r="125" s="1" customFormat="1" ht="25" customHeight="1" spans="1:9">
      <c r="A125" s="6">
        <v>123</v>
      </c>
      <c r="B125" s="7" t="str">
        <f>"233920200429132827283"</f>
        <v>233920200429132827283</v>
      </c>
      <c r="C125" s="6" t="str">
        <f>"王永秀"</f>
        <v>王永秀</v>
      </c>
      <c r="D125" s="6" t="str">
        <f>"女"</f>
        <v>女</v>
      </c>
      <c r="E125" s="6" t="str">
        <f>"1997-09-06"</f>
        <v>1997-09-06</v>
      </c>
      <c r="F125" s="6" t="s">
        <v>10</v>
      </c>
      <c r="G125" s="6" t="str">
        <f t="shared" ref="G125:G133" si="76">"全日制本科"</f>
        <v>全日制本科</v>
      </c>
      <c r="H125" s="6" t="str">
        <f t="shared" ref="H125:H133" si="77">"学士"</f>
        <v>学士</v>
      </c>
      <c r="I125" s="8"/>
    </row>
    <row r="126" s="1" customFormat="1" ht="25" customHeight="1" spans="1:9">
      <c r="A126" s="6">
        <v>124</v>
      </c>
      <c r="B126" s="7" t="str">
        <f>"233920200429134006284"</f>
        <v>233920200429134006284</v>
      </c>
      <c r="C126" s="6" t="str">
        <f>"陈一美"</f>
        <v>陈一美</v>
      </c>
      <c r="D126" s="6" t="str">
        <f>"女"</f>
        <v>女</v>
      </c>
      <c r="E126" s="6" t="str">
        <f>"1991-02-08"</f>
        <v>1991-02-08</v>
      </c>
      <c r="F126" s="6" t="str">
        <f>"回族"</f>
        <v>回族</v>
      </c>
      <c r="G126" s="6" t="str">
        <f t="shared" si="76"/>
        <v>全日制本科</v>
      </c>
      <c r="H126" s="6" t="str">
        <f t="shared" si="77"/>
        <v>学士</v>
      </c>
      <c r="I126" s="8"/>
    </row>
    <row r="127" s="1" customFormat="1" ht="25" customHeight="1" spans="1:9">
      <c r="A127" s="6">
        <v>125</v>
      </c>
      <c r="B127" s="7" t="str">
        <f>"233920200429134700285"</f>
        <v>233920200429134700285</v>
      </c>
      <c r="C127" s="6" t="str">
        <f>"崔信旭"</f>
        <v>崔信旭</v>
      </c>
      <c r="D127" s="6" t="str">
        <f>"男"</f>
        <v>男</v>
      </c>
      <c r="E127" s="6" t="str">
        <f>"1995-11-22"</f>
        <v>1995-11-22</v>
      </c>
      <c r="F127" s="6" t="s">
        <v>10</v>
      </c>
      <c r="G127" s="6" t="str">
        <f t="shared" si="76"/>
        <v>全日制本科</v>
      </c>
      <c r="H127" s="6" t="str">
        <f t="shared" si="77"/>
        <v>学士</v>
      </c>
      <c r="I127" s="8"/>
    </row>
    <row r="128" s="1" customFormat="1" ht="25" customHeight="1" spans="1:9">
      <c r="A128" s="6">
        <v>126</v>
      </c>
      <c r="B128" s="7" t="str">
        <f>"233920200429183934291"</f>
        <v>233920200429183934291</v>
      </c>
      <c r="C128" s="6" t="str">
        <f>"吴俊甫"</f>
        <v>吴俊甫</v>
      </c>
      <c r="D128" s="6" t="str">
        <f>"男"</f>
        <v>男</v>
      </c>
      <c r="E128" s="6" t="str">
        <f>"1996-05-09"</f>
        <v>1996-05-09</v>
      </c>
      <c r="F128" s="6" t="s">
        <v>10</v>
      </c>
      <c r="G128" s="6" t="str">
        <f t="shared" si="76"/>
        <v>全日制本科</v>
      </c>
      <c r="H128" s="6" t="str">
        <f t="shared" si="77"/>
        <v>学士</v>
      </c>
      <c r="I128" s="8"/>
    </row>
    <row r="129" s="1" customFormat="1" ht="25" customHeight="1" spans="1:9">
      <c r="A129" s="6">
        <v>127</v>
      </c>
      <c r="B129" s="7" t="str">
        <f>"233920200429223433296"</f>
        <v>233920200429223433296</v>
      </c>
      <c r="C129" s="6" t="str">
        <f>"许还方"</f>
        <v>许还方</v>
      </c>
      <c r="D129" s="6" t="str">
        <f t="shared" ref="D129:D131" si="78">"女"</f>
        <v>女</v>
      </c>
      <c r="E129" s="6" t="str">
        <f>"1997-09-12"</f>
        <v>1997-09-12</v>
      </c>
      <c r="F129" s="6" t="str">
        <f t="shared" ref="F129:F134" si="79">"汉族"</f>
        <v>汉族</v>
      </c>
      <c r="G129" s="6" t="str">
        <f t="shared" si="76"/>
        <v>全日制本科</v>
      </c>
      <c r="H129" s="6" t="str">
        <f t="shared" si="77"/>
        <v>学士</v>
      </c>
      <c r="I129" s="8"/>
    </row>
    <row r="130" s="1" customFormat="1" ht="25" customHeight="1" spans="1:9">
      <c r="A130" s="6">
        <v>128</v>
      </c>
      <c r="B130" s="7" t="str">
        <f>"233920200430090651299"</f>
        <v>233920200430090651299</v>
      </c>
      <c r="C130" s="6" t="str">
        <f>"关娇燕"</f>
        <v>关娇燕</v>
      </c>
      <c r="D130" s="6" t="str">
        <f t="shared" si="78"/>
        <v>女</v>
      </c>
      <c r="E130" s="6" t="str">
        <f>"1997-01-21"</f>
        <v>1997-01-21</v>
      </c>
      <c r="F130" s="6" t="str">
        <f t="shared" si="79"/>
        <v>汉族</v>
      </c>
      <c r="G130" s="6" t="str">
        <f t="shared" si="76"/>
        <v>全日制本科</v>
      </c>
      <c r="H130" s="6" t="str">
        <f t="shared" si="77"/>
        <v>学士</v>
      </c>
      <c r="I130" s="8"/>
    </row>
    <row r="131" s="1" customFormat="1" ht="25" customHeight="1" spans="1:9">
      <c r="A131" s="6">
        <v>129</v>
      </c>
      <c r="B131" s="7" t="str">
        <f>"233920200430103808300"</f>
        <v>233920200430103808300</v>
      </c>
      <c r="C131" s="6" t="str">
        <f>"文素金"</f>
        <v>文素金</v>
      </c>
      <c r="D131" s="6" t="str">
        <f t="shared" si="78"/>
        <v>女</v>
      </c>
      <c r="E131" s="6" t="str">
        <f>"1997-10-15"</f>
        <v>1997-10-15</v>
      </c>
      <c r="F131" s="6" t="str">
        <f t="shared" si="79"/>
        <v>汉族</v>
      </c>
      <c r="G131" s="6" t="str">
        <f t="shared" si="76"/>
        <v>全日制本科</v>
      </c>
      <c r="H131" s="6" t="str">
        <f t="shared" si="77"/>
        <v>学士</v>
      </c>
      <c r="I131" s="8"/>
    </row>
    <row r="132" s="1" customFormat="1" ht="25" customHeight="1" spans="1:9">
      <c r="A132" s="6">
        <v>130</v>
      </c>
      <c r="B132" s="7" t="str">
        <f>"233920200430110901302"</f>
        <v>233920200430110901302</v>
      </c>
      <c r="C132" s="6" t="str">
        <f>"陈俊霖"</f>
        <v>陈俊霖</v>
      </c>
      <c r="D132" s="6" t="str">
        <f>"男"</f>
        <v>男</v>
      </c>
      <c r="E132" s="6" t="str">
        <f>"1997-04-17"</f>
        <v>1997-04-17</v>
      </c>
      <c r="F132" s="6" t="str">
        <f t="shared" si="79"/>
        <v>汉族</v>
      </c>
      <c r="G132" s="6" t="str">
        <f t="shared" si="76"/>
        <v>全日制本科</v>
      </c>
      <c r="H132" s="6" t="str">
        <f t="shared" si="77"/>
        <v>学士</v>
      </c>
      <c r="I132" s="8"/>
    </row>
    <row r="133" s="1" customFormat="1" ht="25" customHeight="1" spans="1:9">
      <c r="A133" s="6">
        <v>131</v>
      </c>
      <c r="B133" s="7" t="str">
        <f>"233920200430124228304"</f>
        <v>233920200430124228304</v>
      </c>
      <c r="C133" s="6" t="str">
        <f>"江伊杰"</f>
        <v>江伊杰</v>
      </c>
      <c r="D133" s="6" t="str">
        <f>"女"</f>
        <v>女</v>
      </c>
      <c r="E133" s="6" t="str">
        <f>"1997-03-18"</f>
        <v>1997-03-18</v>
      </c>
      <c r="F133" s="6" t="str">
        <f t="shared" si="79"/>
        <v>汉族</v>
      </c>
      <c r="G133" s="6" t="str">
        <f t="shared" si="76"/>
        <v>全日制本科</v>
      </c>
      <c r="H133" s="6" t="str">
        <f t="shared" si="77"/>
        <v>学士</v>
      </c>
      <c r="I133" s="8"/>
    </row>
    <row r="134" s="1" customFormat="1" ht="25" customHeight="1" spans="1:9">
      <c r="A134" s="6">
        <v>132</v>
      </c>
      <c r="B134" s="7" t="str">
        <f>"233920200430155048306"</f>
        <v>233920200430155048306</v>
      </c>
      <c r="C134" s="6" t="str">
        <f>"赵喆"</f>
        <v>赵喆</v>
      </c>
      <c r="D134" s="6" t="str">
        <f>"男"</f>
        <v>男</v>
      </c>
      <c r="E134" s="6" t="str">
        <f>"1993-02-19"</f>
        <v>1993-02-19</v>
      </c>
      <c r="F134" s="6" t="str">
        <f t="shared" si="79"/>
        <v>汉族</v>
      </c>
      <c r="G134" s="6" t="str">
        <f>"研究生"</f>
        <v>研究生</v>
      </c>
      <c r="H134" s="6" t="str">
        <f>"硕士"</f>
        <v>硕士</v>
      </c>
      <c r="I134" s="8"/>
    </row>
    <row r="135" s="1" customFormat="1" ht="25" customHeight="1" spans="1:9">
      <c r="A135" s="6">
        <v>133</v>
      </c>
      <c r="B135" s="7" t="str">
        <f>"233920200430165630311"</f>
        <v>233920200430165630311</v>
      </c>
      <c r="C135" s="6" t="str">
        <f>"付云"</f>
        <v>付云</v>
      </c>
      <c r="D135" s="6" t="str">
        <f>"女"</f>
        <v>女</v>
      </c>
      <c r="E135" s="6" t="str">
        <f>"1994-10-15"</f>
        <v>1994-10-15</v>
      </c>
      <c r="F135" s="6" t="s">
        <v>10</v>
      </c>
      <c r="G135" s="6" t="str">
        <f>"全日制本科"</f>
        <v>全日制本科</v>
      </c>
      <c r="H135" s="6" t="str">
        <f>"学士"</f>
        <v>学士</v>
      </c>
      <c r="I135" s="8"/>
    </row>
    <row r="136" ht="25" customHeight="1" spans="1:9">
      <c r="A136" s="6">
        <v>134</v>
      </c>
      <c r="B136" s="7" t="str">
        <f>"233920200428203733271"</f>
        <v>233920200428203733271</v>
      </c>
      <c r="C136" s="6" t="str">
        <f>"王祯霞"</f>
        <v>王祯霞</v>
      </c>
      <c r="D136" s="6" t="str">
        <f>"女"</f>
        <v>女</v>
      </c>
      <c r="E136" s="6" t="str">
        <f>"1998-01-24"</f>
        <v>1998-01-24</v>
      </c>
      <c r="F136" s="6" t="s">
        <v>12</v>
      </c>
      <c r="G136" s="6" t="str">
        <f>"全日制本科"</f>
        <v>全日制本科</v>
      </c>
      <c r="H136" s="6" t="str">
        <f>"学士"</f>
        <v>学士</v>
      </c>
      <c r="I136" s="6"/>
    </row>
    <row r="137" ht="25" customHeight="1" spans="1:9">
      <c r="A137" s="6">
        <v>135</v>
      </c>
      <c r="B137" s="7" t="str">
        <f>"233920200430162412309"</f>
        <v>233920200430162412309</v>
      </c>
      <c r="C137" s="6" t="str">
        <f>"文莹"</f>
        <v>文莹</v>
      </c>
      <c r="D137" s="6" t="str">
        <f>"女"</f>
        <v>女</v>
      </c>
      <c r="E137" s="6" t="str">
        <f>"1997-01-10"</f>
        <v>1997-01-10</v>
      </c>
      <c r="F137" s="6" t="s">
        <v>12</v>
      </c>
      <c r="G137" s="6" t="str">
        <f>"全日制本科"</f>
        <v>全日制本科</v>
      </c>
      <c r="H137" s="6" t="str">
        <f>"学士"</f>
        <v>学士</v>
      </c>
      <c r="I137" s="6"/>
    </row>
  </sheetData>
  <autoFilter ref="A1:I137">
    <extLst/>
  </autoFilter>
  <mergeCells count="1">
    <mergeCell ref="A1:I1"/>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2339_5eaa9ac52d438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2020-04-30T09:32:00Z</dcterms:created>
  <dcterms:modified xsi:type="dcterms:W3CDTF">2020-06-11T08:47:17Z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